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pou cc/PO total/"/>
    </mc:Choice>
  </mc:AlternateContent>
  <xr:revisionPtr revIDLastSave="13" documentId="8_{4D0B0E0F-572F-47A5-8080-B92A1F235433}" xr6:coauthVersionLast="47" xr6:coauthVersionMax="47" xr10:uidLastSave="{FFD0E883-D352-4E1E-A574-1F80031BBA9A}"/>
  <bookViews>
    <workbookView xWindow="-120" yWindow="-120" windowWidth="29040" windowHeight="15720" xr2:uid="{DDF8D604-575B-4752-9876-BC227568F643}"/>
  </bookViews>
  <sheets>
    <sheet name="Tabelle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40" i="1" l="1"/>
  <c r="CR40" i="1"/>
  <c r="CQ40" i="1"/>
  <c r="CM40" i="1"/>
  <c r="CL40" i="1"/>
  <c r="CK40" i="1"/>
  <c r="CJ40" i="1"/>
  <c r="CI40" i="1"/>
  <c r="CF40" i="1"/>
  <c r="CE40" i="1"/>
  <c r="CD40" i="1"/>
  <c r="CC40" i="1"/>
  <c r="CB40" i="1"/>
  <c r="BU40" i="1"/>
  <c r="BT40" i="1"/>
  <c r="BS40" i="1"/>
  <c r="BQ40" i="1"/>
  <c r="BP40" i="1"/>
  <c r="BO40" i="1"/>
  <c r="F40" i="1"/>
  <c r="CS39" i="1"/>
  <c r="CR39" i="1"/>
  <c r="CQ39" i="1"/>
  <c r="CM39" i="1"/>
  <c r="CL39" i="1"/>
  <c r="CK39" i="1"/>
  <c r="CJ39" i="1"/>
  <c r="CI39" i="1"/>
  <c r="CF39" i="1"/>
  <c r="CE39" i="1"/>
  <c r="CD39" i="1"/>
  <c r="CC39" i="1"/>
  <c r="CB39" i="1"/>
  <c r="BU39" i="1"/>
  <c r="BT39" i="1"/>
  <c r="BS39" i="1"/>
  <c r="BQ39" i="1"/>
  <c r="BP39" i="1"/>
  <c r="BO39" i="1"/>
  <c r="F39" i="1"/>
  <c r="CS38" i="1"/>
  <c r="CR38" i="1"/>
  <c r="CQ38" i="1"/>
  <c r="CM38" i="1"/>
  <c r="CL38" i="1"/>
  <c r="CK38" i="1"/>
  <c r="CJ38" i="1"/>
  <c r="CI38" i="1"/>
  <c r="CF38" i="1"/>
  <c r="CE38" i="1"/>
  <c r="CD38" i="1"/>
  <c r="CC38" i="1"/>
  <c r="CB38" i="1"/>
  <c r="BU38" i="1"/>
  <c r="BT38" i="1"/>
  <c r="BS38" i="1"/>
  <c r="BQ38" i="1"/>
  <c r="BP38" i="1"/>
  <c r="BO38" i="1"/>
  <c r="F38" i="1"/>
  <c r="CS37" i="1"/>
  <c r="CR37" i="1"/>
  <c r="CQ37" i="1"/>
  <c r="CM37" i="1"/>
  <c r="CL37" i="1"/>
  <c r="CK37" i="1"/>
  <c r="CJ37" i="1"/>
  <c r="CI37" i="1"/>
  <c r="CF37" i="1"/>
  <c r="CE37" i="1"/>
  <c r="CD37" i="1"/>
  <c r="CC37" i="1"/>
  <c r="CB37" i="1"/>
  <c r="BU37" i="1"/>
  <c r="BT37" i="1"/>
  <c r="BS37" i="1"/>
  <c r="BQ37" i="1"/>
  <c r="BP37" i="1"/>
  <c r="BO37" i="1"/>
  <c r="F37" i="1"/>
  <c r="CS36" i="1"/>
  <c r="CR36" i="1"/>
  <c r="CQ36" i="1"/>
  <c r="CM36" i="1"/>
  <c r="CL36" i="1"/>
  <c r="CK36" i="1"/>
  <c r="CJ36" i="1"/>
  <c r="CI36" i="1"/>
  <c r="CF36" i="1"/>
  <c r="CE36" i="1"/>
  <c r="CD36" i="1"/>
  <c r="CC36" i="1"/>
  <c r="CB36" i="1"/>
  <c r="BU36" i="1"/>
  <c r="BT36" i="1"/>
  <c r="BS36" i="1"/>
  <c r="BQ36" i="1"/>
  <c r="BP36" i="1"/>
  <c r="BO36" i="1"/>
  <c r="F36" i="1"/>
  <c r="CS35" i="1"/>
  <c r="CR35" i="1"/>
  <c r="CQ35" i="1"/>
  <c r="CM35" i="1"/>
  <c r="CL35" i="1"/>
  <c r="CK35" i="1"/>
  <c r="CJ35" i="1"/>
  <c r="CI35" i="1"/>
  <c r="CF35" i="1"/>
  <c r="CE35" i="1"/>
  <c r="CD35" i="1"/>
  <c r="CC35" i="1"/>
  <c r="CB35" i="1"/>
  <c r="BU35" i="1"/>
  <c r="BT35" i="1"/>
  <c r="BS35" i="1"/>
  <c r="BQ35" i="1"/>
  <c r="BP35" i="1"/>
  <c r="BO35" i="1"/>
  <c r="F35" i="1"/>
  <c r="CS34" i="1"/>
  <c r="CR34" i="1"/>
  <c r="CQ34" i="1"/>
  <c r="CM34" i="1"/>
  <c r="CL34" i="1"/>
  <c r="CK34" i="1"/>
  <c r="CJ34" i="1"/>
  <c r="CI34" i="1"/>
  <c r="CF34" i="1"/>
  <c r="CE34" i="1"/>
  <c r="CD34" i="1"/>
  <c r="CC34" i="1"/>
  <c r="CB34" i="1"/>
  <c r="BU34" i="1"/>
  <c r="BT34" i="1"/>
  <c r="BS34" i="1"/>
  <c r="BQ34" i="1"/>
  <c r="BP34" i="1"/>
  <c r="BO34" i="1"/>
  <c r="F34" i="1"/>
  <c r="CS33" i="1"/>
  <c r="CR33" i="1"/>
  <c r="CQ33" i="1"/>
  <c r="CM33" i="1"/>
  <c r="CL33" i="1"/>
  <c r="CK33" i="1"/>
  <c r="CJ33" i="1"/>
  <c r="CI33" i="1"/>
  <c r="CF33" i="1"/>
  <c r="CE33" i="1"/>
  <c r="CD33" i="1"/>
  <c r="CC33" i="1"/>
  <c r="CB33" i="1"/>
  <c r="BU33" i="1"/>
  <c r="BT33" i="1"/>
  <c r="BS33" i="1"/>
  <c r="BQ33" i="1"/>
  <c r="BP33" i="1"/>
  <c r="BO33" i="1"/>
  <c r="F33" i="1"/>
  <c r="CS32" i="1"/>
  <c r="CR32" i="1"/>
  <c r="CQ32" i="1"/>
  <c r="CM32" i="1"/>
  <c r="CL32" i="1"/>
  <c r="CK32" i="1"/>
  <c r="CJ32" i="1"/>
  <c r="CI32" i="1"/>
  <c r="CF32" i="1"/>
  <c r="CE32" i="1"/>
  <c r="CD32" i="1"/>
  <c r="CC32" i="1"/>
  <c r="CB32" i="1"/>
  <c r="BU32" i="1"/>
  <c r="BT32" i="1"/>
  <c r="BS32" i="1"/>
  <c r="BQ32" i="1"/>
  <c r="BP32" i="1"/>
  <c r="BO32" i="1"/>
  <c r="F32" i="1"/>
  <c r="CS31" i="1"/>
  <c r="CR31" i="1"/>
  <c r="CQ31" i="1"/>
  <c r="CM31" i="1"/>
  <c r="CL31" i="1"/>
  <c r="CK31" i="1"/>
  <c r="CJ31" i="1"/>
  <c r="CI31" i="1"/>
  <c r="CF31" i="1"/>
  <c r="CE31" i="1"/>
  <c r="CD31" i="1"/>
  <c r="CC31" i="1"/>
  <c r="CB31" i="1"/>
  <c r="BU31" i="1"/>
  <c r="BT31" i="1"/>
  <c r="BS31" i="1"/>
  <c r="BQ31" i="1"/>
  <c r="BP31" i="1"/>
  <c r="BO31" i="1"/>
  <c r="F31" i="1"/>
  <c r="CS30" i="1"/>
  <c r="CR30" i="1"/>
  <c r="CQ30" i="1"/>
  <c r="CM30" i="1"/>
  <c r="CL30" i="1"/>
  <c r="CK30" i="1"/>
  <c r="CJ30" i="1"/>
  <c r="CI30" i="1"/>
  <c r="CF30" i="1"/>
  <c r="CE30" i="1"/>
  <c r="CD30" i="1"/>
  <c r="CC30" i="1"/>
  <c r="CB30" i="1"/>
  <c r="BU30" i="1"/>
  <c r="BT30" i="1"/>
  <c r="BS30" i="1"/>
  <c r="BQ30" i="1"/>
  <c r="BP30" i="1"/>
  <c r="BO30" i="1"/>
  <c r="F30" i="1"/>
  <c r="CS29" i="1"/>
  <c r="CR29" i="1"/>
  <c r="CQ29" i="1"/>
  <c r="CM29" i="1"/>
  <c r="CL29" i="1"/>
  <c r="CK29" i="1"/>
  <c r="CJ29" i="1"/>
  <c r="CI29" i="1"/>
  <c r="CF29" i="1"/>
  <c r="CE29" i="1"/>
  <c r="CD29" i="1"/>
  <c r="CC29" i="1"/>
  <c r="CB29" i="1"/>
  <c r="BU29" i="1"/>
  <c r="BT29" i="1"/>
  <c r="BS29" i="1"/>
  <c r="BQ29" i="1"/>
  <c r="BP29" i="1"/>
  <c r="BO29" i="1"/>
  <c r="F29" i="1"/>
  <c r="CS28" i="1"/>
  <c r="CR28" i="1"/>
  <c r="CQ28" i="1"/>
  <c r="CM28" i="1"/>
  <c r="CL28" i="1"/>
  <c r="CK28" i="1"/>
  <c r="CJ28" i="1"/>
  <c r="CI28" i="1"/>
  <c r="CF28" i="1"/>
  <c r="CE28" i="1"/>
  <c r="CD28" i="1"/>
  <c r="CC28" i="1"/>
  <c r="CB28" i="1"/>
  <c r="BU28" i="1"/>
  <c r="BT28" i="1"/>
  <c r="BS28" i="1"/>
  <c r="BQ28" i="1"/>
  <c r="BP28" i="1"/>
  <c r="BO28" i="1"/>
  <c r="F28" i="1"/>
  <c r="CS27" i="1"/>
  <c r="CR27" i="1"/>
  <c r="CQ27" i="1"/>
  <c r="CM27" i="1"/>
  <c r="CL27" i="1"/>
  <c r="CK27" i="1"/>
  <c r="CJ27" i="1"/>
  <c r="CI27" i="1"/>
  <c r="CF27" i="1"/>
  <c r="CE27" i="1"/>
  <c r="CD27" i="1"/>
  <c r="CC27" i="1"/>
  <c r="CB27" i="1"/>
  <c r="BU27" i="1"/>
  <c r="BT27" i="1"/>
  <c r="BS27" i="1"/>
  <c r="BQ27" i="1"/>
  <c r="BP27" i="1"/>
  <c r="BO27" i="1"/>
  <c r="F27" i="1"/>
  <c r="CS26" i="1"/>
  <c r="CR26" i="1"/>
  <c r="CQ26" i="1"/>
  <c r="CM26" i="1"/>
  <c r="CL26" i="1"/>
  <c r="CK26" i="1"/>
  <c r="CJ26" i="1"/>
  <c r="CI26" i="1"/>
  <c r="CF26" i="1"/>
  <c r="CE26" i="1"/>
  <c r="CD26" i="1"/>
  <c r="CC26" i="1"/>
  <c r="CB26" i="1"/>
  <c r="BU26" i="1"/>
  <c r="BT26" i="1"/>
  <c r="BS26" i="1"/>
  <c r="BQ26" i="1"/>
  <c r="BP26" i="1"/>
  <c r="BO26" i="1"/>
  <c r="F26" i="1"/>
  <c r="CS25" i="1"/>
  <c r="CR25" i="1"/>
  <c r="CQ25" i="1"/>
  <c r="CM25" i="1"/>
  <c r="CL25" i="1"/>
  <c r="CK25" i="1"/>
  <c r="CJ25" i="1"/>
  <c r="CI25" i="1"/>
  <c r="CF25" i="1"/>
  <c r="CE25" i="1"/>
  <c r="CD25" i="1"/>
  <c r="CC25" i="1"/>
  <c r="CB25" i="1"/>
  <c r="BU25" i="1"/>
  <c r="BT25" i="1"/>
  <c r="BS25" i="1"/>
  <c r="BQ25" i="1"/>
  <c r="BP25" i="1"/>
  <c r="BO25" i="1"/>
  <c r="F25" i="1"/>
  <c r="CS24" i="1"/>
  <c r="CR24" i="1"/>
  <c r="CQ24" i="1"/>
  <c r="CM24" i="1"/>
  <c r="CL24" i="1"/>
  <c r="CK24" i="1"/>
  <c r="CJ24" i="1"/>
  <c r="CI24" i="1"/>
  <c r="CF24" i="1"/>
  <c r="CE24" i="1"/>
  <c r="CD24" i="1"/>
  <c r="CC24" i="1"/>
  <c r="CB24" i="1"/>
  <c r="BU24" i="1"/>
  <c r="BT24" i="1"/>
  <c r="BS24" i="1"/>
  <c r="BQ24" i="1"/>
  <c r="BP24" i="1"/>
  <c r="BO24" i="1"/>
  <c r="F24" i="1"/>
  <c r="CS23" i="1"/>
  <c r="CR23" i="1"/>
  <c r="CQ23" i="1"/>
  <c r="CM23" i="1"/>
  <c r="CL23" i="1"/>
  <c r="CK23" i="1"/>
  <c r="CJ23" i="1"/>
  <c r="CI23" i="1"/>
  <c r="CF23" i="1"/>
  <c r="CE23" i="1"/>
  <c r="CD23" i="1"/>
  <c r="CC23" i="1"/>
  <c r="CB23" i="1"/>
  <c r="BU23" i="1"/>
  <c r="BT23" i="1"/>
  <c r="BS23" i="1"/>
  <c r="BQ23" i="1"/>
  <c r="BP23" i="1"/>
  <c r="BO23" i="1"/>
  <c r="F23" i="1"/>
  <c r="CS22" i="1"/>
  <c r="CR22" i="1"/>
  <c r="CQ22" i="1"/>
  <c r="CM22" i="1"/>
  <c r="CL22" i="1"/>
  <c r="CK22" i="1"/>
  <c r="CJ22" i="1"/>
  <c r="CI22" i="1"/>
  <c r="CF22" i="1"/>
  <c r="CE22" i="1"/>
  <c r="CD22" i="1"/>
  <c r="CC22" i="1"/>
  <c r="CB22" i="1"/>
  <c r="BU22" i="1"/>
  <c r="BT22" i="1"/>
  <c r="BS22" i="1"/>
  <c r="BQ22" i="1"/>
  <c r="BP22" i="1"/>
  <c r="BO22" i="1"/>
  <c r="F22" i="1"/>
  <c r="CS21" i="1"/>
  <c r="CR21" i="1"/>
  <c r="CQ21" i="1"/>
  <c r="CM21" i="1"/>
  <c r="CL21" i="1"/>
  <c r="CK21" i="1"/>
  <c r="CJ21" i="1"/>
  <c r="CI21" i="1"/>
  <c r="CF21" i="1"/>
  <c r="CE21" i="1"/>
  <c r="CD21" i="1"/>
  <c r="CC21" i="1"/>
  <c r="CB21" i="1"/>
  <c r="BU21" i="1"/>
  <c r="BT21" i="1"/>
  <c r="BS21" i="1"/>
  <c r="BQ21" i="1"/>
  <c r="BP21" i="1"/>
  <c r="BO21" i="1"/>
  <c r="F21" i="1"/>
  <c r="CS20" i="1"/>
  <c r="CR20" i="1"/>
  <c r="CQ20" i="1"/>
  <c r="CM20" i="1"/>
  <c r="CL20" i="1"/>
  <c r="CK20" i="1"/>
  <c r="CJ20" i="1"/>
  <c r="CI20" i="1"/>
  <c r="CF20" i="1"/>
  <c r="CE20" i="1"/>
  <c r="CD20" i="1"/>
  <c r="CC20" i="1"/>
  <c r="CB20" i="1"/>
  <c r="BU20" i="1"/>
  <c r="BT20" i="1"/>
  <c r="BS20" i="1"/>
  <c r="BQ20" i="1"/>
  <c r="BP20" i="1"/>
  <c r="BO20" i="1"/>
  <c r="F20" i="1"/>
  <c r="CS19" i="1"/>
  <c r="CR19" i="1"/>
  <c r="CQ19" i="1"/>
  <c r="CM19" i="1"/>
  <c r="CL19" i="1"/>
  <c r="CK19" i="1"/>
  <c r="CJ19" i="1"/>
  <c r="CI19" i="1"/>
  <c r="CF19" i="1"/>
  <c r="CE19" i="1"/>
  <c r="CD19" i="1"/>
  <c r="CC19" i="1"/>
  <c r="CB19" i="1"/>
  <c r="BU19" i="1"/>
  <c r="BT19" i="1"/>
  <c r="BS19" i="1"/>
  <c r="BQ19" i="1"/>
  <c r="BP19" i="1"/>
  <c r="BO19" i="1"/>
  <c r="F19" i="1"/>
  <c r="CS18" i="1"/>
  <c r="CR18" i="1"/>
  <c r="CQ18" i="1"/>
  <c r="CM18" i="1"/>
  <c r="CL18" i="1"/>
  <c r="CK18" i="1"/>
  <c r="CJ18" i="1"/>
  <c r="CI18" i="1"/>
  <c r="CF18" i="1"/>
  <c r="CE18" i="1"/>
  <c r="CD18" i="1"/>
  <c r="CC18" i="1"/>
  <c r="CB18" i="1"/>
  <c r="BU18" i="1"/>
  <c r="BT18" i="1"/>
  <c r="BS18" i="1"/>
  <c r="BQ18" i="1"/>
  <c r="BP18" i="1"/>
  <c r="BO18" i="1"/>
  <c r="F18" i="1"/>
  <c r="CS17" i="1"/>
  <c r="CR17" i="1"/>
  <c r="CQ17" i="1"/>
  <c r="CM17" i="1"/>
  <c r="CL17" i="1"/>
  <c r="CK17" i="1"/>
  <c r="CJ17" i="1"/>
  <c r="CI17" i="1"/>
  <c r="CF17" i="1"/>
  <c r="CE17" i="1"/>
  <c r="CD17" i="1"/>
  <c r="CC17" i="1"/>
  <c r="CB17" i="1"/>
  <c r="BU17" i="1"/>
  <c r="BT17" i="1"/>
  <c r="BS17" i="1"/>
  <c r="BQ17" i="1"/>
  <c r="BP17" i="1"/>
  <c r="BO17" i="1"/>
  <c r="F17" i="1"/>
  <c r="CS16" i="1"/>
  <c r="CR16" i="1"/>
  <c r="CQ16" i="1"/>
  <c r="CM16" i="1"/>
  <c r="CL16" i="1"/>
  <c r="CK16" i="1"/>
  <c r="CJ16" i="1"/>
  <c r="CI16" i="1"/>
  <c r="CF16" i="1"/>
  <c r="CE16" i="1"/>
  <c r="CD16" i="1"/>
  <c r="CC16" i="1"/>
  <c r="CB16" i="1"/>
  <c r="BU16" i="1"/>
  <c r="BT16" i="1"/>
  <c r="BS16" i="1"/>
  <c r="BQ16" i="1"/>
  <c r="BP16" i="1"/>
  <c r="BO16" i="1"/>
  <c r="F16" i="1"/>
  <c r="CS15" i="1"/>
  <c r="CR15" i="1"/>
  <c r="CQ15" i="1"/>
  <c r="CM15" i="1"/>
  <c r="CL15" i="1"/>
  <c r="CK15" i="1"/>
  <c r="CJ15" i="1"/>
  <c r="CI15" i="1"/>
  <c r="CF15" i="1"/>
  <c r="CE15" i="1"/>
  <c r="CD15" i="1"/>
  <c r="CC15" i="1"/>
  <c r="CB15" i="1"/>
  <c r="BU15" i="1"/>
  <c r="BT15" i="1"/>
  <c r="BS15" i="1"/>
  <c r="BQ15" i="1"/>
  <c r="BP15" i="1"/>
  <c r="BO15" i="1"/>
  <c r="F15" i="1"/>
  <c r="CS14" i="1"/>
  <c r="CR14" i="1"/>
  <c r="CQ14" i="1"/>
  <c r="CM14" i="1"/>
  <c r="CL14" i="1"/>
  <c r="CK14" i="1"/>
  <c r="CJ14" i="1"/>
  <c r="CI14" i="1"/>
  <c r="CF14" i="1"/>
  <c r="CE14" i="1"/>
  <c r="CD14" i="1"/>
  <c r="CC14" i="1"/>
  <c r="CB14" i="1"/>
  <c r="BU14" i="1"/>
  <c r="BT14" i="1"/>
  <c r="BS14" i="1"/>
  <c r="BQ14" i="1"/>
  <c r="BP14" i="1"/>
  <c r="BO14" i="1"/>
  <c r="F14" i="1"/>
  <c r="CS13" i="1"/>
  <c r="CR13" i="1"/>
  <c r="CQ13" i="1"/>
  <c r="CM13" i="1"/>
  <c r="CL13" i="1"/>
  <c r="CK13" i="1"/>
  <c r="CJ13" i="1"/>
  <c r="CI13" i="1"/>
  <c r="CF13" i="1"/>
  <c r="CE13" i="1"/>
  <c r="CD13" i="1"/>
  <c r="CC13" i="1"/>
  <c r="CB13" i="1"/>
  <c r="BU13" i="1"/>
  <c r="BT13" i="1"/>
  <c r="BS13" i="1"/>
  <c r="BQ13" i="1"/>
  <c r="BP13" i="1"/>
  <c r="BO13" i="1"/>
  <c r="F13" i="1"/>
  <c r="CS12" i="1"/>
  <c r="CR12" i="1"/>
  <c r="CQ12" i="1"/>
  <c r="CM12" i="1"/>
  <c r="CL12" i="1"/>
  <c r="CK12" i="1"/>
  <c r="CJ12" i="1"/>
  <c r="CI12" i="1"/>
  <c r="CF12" i="1"/>
  <c r="CE12" i="1"/>
  <c r="CD12" i="1"/>
  <c r="CC12" i="1"/>
  <c r="CB12" i="1"/>
  <c r="BU12" i="1"/>
  <c r="BT12" i="1"/>
  <c r="BS12" i="1"/>
  <c r="BQ12" i="1"/>
  <c r="BP12" i="1"/>
  <c r="BO12" i="1"/>
  <c r="F12" i="1"/>
  <c r="CS11" i="1"/>
  <c r="CR11" i="1"/>
  <c r="CQ11" i="1"/>
  <c r="CM11" i="1"/>
  <c r="CL11" i="1"/>
  <c r="CK11" i="1"/>
  <c r="CJ11" i="1"/>
  <c r="CI11" i="1"/>
  <c r="CF11" i="1"/>
  <c r="CE11" i="1"/>
  <c r="CD11" i="1"/>
  <c r="CC11" i="1"/>
  <c r="CB11" i="1"/>
  <c r="BU11" i="1"/>
  <c r="BT11" i="1"/>
  <c r="BS11" i="1"/>
  <c r="BQ11" i="1"/>
  <c r="BP11" i="1"/>
  <c r="BO11" i="1"/>
  <c r="F11" i="1"/>
  <c r="CS10" i="1"/>
  <c r="CR10" i="1"/>
  <c r="CQ10" i="1"/>
  <c r="CM10" i="1"/>
  <c r="CL10" i="1"/>
  <c r="CK10" i="1"/>
  <c r="CJ10" i="1"/>
  <c r="CI10" i="1"/>
  <c r="CF10" i="1"/>
  <c r="CE10" i="1"/>
  <c r="CD10" i="1"/>
  <c r="CC10" i="1"/>
  <c r="CB10" i="1"/>
  <c r="BU10" i="1"/>
  <c r="BT10" i="1"/>
  <c r="BS10" i="1"/>
  <c r="BQ10" i="1"/>
  <c r="BP10" i="1"/>
  <c r="BO10" i="1"/>
  <c r="F10" i="1"/>
  <c r="CS9" i="1"/>
  <c r="CR9" i="1"/>
  <c r="CQ9" i="1"/>
  <c r="CM9" i="1"/>
  <c r="CL9" i="1"/>
  <c r="CK9" i="1"/>
  <c r="CJ9" i="1"/>
  <c r="CI9" i="1"/>
  <c r="CF9" i="1"/>
  <c r="CE9" i="1"/>
  <c r="CD9" i="1"/>
  <c r="CC9" i="1"/>
  <c r="CB9" i="1"/>
  <c r="BU9" i="1"/>
  <c r="BT9" i="1"/>
  <c r="BS9" i="1"/>
  <c r="BQ9" i="1"/>
  <c r="BP9" i="1"/>
  <c r="BO9" i="1"/>
  <c r="F9" i="1"/>
  <c r="CS8" i="1"/>
  <c r="CR8" i="1"/>
  <c r="CQ8" i="1"/>
  <c r="CM8" i="1"/>
  <c r="CL8" i="1"/>
  <c r="CK8" i="1"/>
  <c r="CJ8" i="1"/>
  <c r="CI8" i="1"/>
  <c r="CF8" i="1"/>
  <c r="CE8" i="1"/>
  <c r="CD8" i="1"/>
  <c r="CC8" i="1"/>
  <c r="CB8" i="1"/>
  <c r="BU8" i="1"/>
  <c r="BT8" i="1"/>
  <c r="BS8" i="1"/>
  <c r="BQ8" i="1"/>
  <c r="BP8" i="1"/>
  <c r="BO8" i="1"/>
  <c r="F8" i="1"/>
  <c r="CS7" i="1"/>
  <c r="CR7" i="1"/>
  <c r="CQ7" i="1"/>
  <c r="CM7" i="1"/>
  <c r="CL7" i="1"/>
  <c r="CK7" i="1"/>
  <c r="CJ7" i="1"/>
  <c r="CI7" i="1"/>
  <c r="CF7" i="1"/>
  <c r="CE7" i="1"/>
  <c r="CD7" i="1"/>
  <c r="CC7" i="1"/>
  <c r="CB7" i="1"/>
  <c r="BU7" i="1"/>
  <c r="BT7" i="1"/>
  <c r="BS7" i="1"/>
  <c r="BQ7" i="1"/>
  <c r="BP7" i="1"/>
  <c r="BO7" i="1"/>
  <c r="F7" i="1"/>
  <c r="CS6" i="1"/>
  <c r="CR6" i="1"/>
  <c r="CQ6" i="1"/>
  <c r="CP6" i="1"/>
  <c r="CO6" i="1"/>
  <c r="CM6" i="1"/>
  <c r="CL6" i="1"/>
  <c r="CK6" i="1"/>
  <c r="CJ6" i="1"/>
  <c r="CI6" i="1"/>
  <c r="CF6" i="1"/>
  <c r="CE6" i="1"/>
  <c r="CD6" i="1"/>
  <c r="CC6" i="1"/>
  <c r="CB6" i="1"/>
  <c r="BU6" i="1"/>
  <c r="BT6" i="1"/>
  <c r="BS6" i="1"/>
  <c r="BQ6" i="1"/>
  <c r="BP6" i="1"/>
  <c r="BO6" i="1"/>
  <c r="F6" i="1"/>
</calcChain>
</file>

<file path=xl/sharedStrings.xml><?xml version="1.0" encoding="utf-8"?>
<sst xmlns="http://schemas.openxmlformats.org/spreadsheetml/2006/main" count="1023" uniqueCount="747">
  <si>
    <t xml:space="preserve"> </t>
  </si>
  <si>
    <t>Index</t>
  </si>
  <si>
    <t>Class</t>
  </si>
  <si>
    <t>HAN total</t>
  </si>
  <si>
    <t>PIN total</t>
  </si>
  <si>
    <t>EN total</t>
  </si>
  <si>
    <t>LANG1</t>
  </si>
  <si>
    <t>LANG2</t>
  </si>
  <si>
    <t>LANG3</t>
  </si>
  <si>
    <t>Notes</t>
  </si>
  <si>
    <t>HAN1</t>
  </si>
  <si>
    <t>PIN1</t>
  </si>
  <si>
    <t>HAN2</t>
  </si>
  <si>
    <t xml:space="preserve">PIN2 </t>
  </si>
  <si>
    <t>HAN3</t>
  </si>
  <si>
    <t>PIN3</t>
  </si>
  <si>
    <t>HAN4</t>
  </si>
  <si>
    <t>PIN4</t>
  </si>
  <si>
    <t>LANG4</t>
  </si>
  <si>
    <t>HAN5</t>
  </si>
  <si>
    <t>PIN5</t>
  </si>
  <si>
    <t>LANG5</t>
  </si>
  <si>
    <t>HAN6</t>
  </si>
  <si>
    <t>PIN6</t>
  </si>
  <si>
    <t>LANG6</t>
  </si>
  <si>
    <t>HAN7</t>
  </si>
  <si>
    <t>PIN7</t>
  </si>
  <si>
    <t>LANG7</t>
  </si>
  <si>
    <t>HAN8</t>
  </si>
  <si>
    <t>PIN8</t>
  </si>
  <si>
    <t>LANG8</t>
  </si>
  <si>
    <t>HAN9</t>
  </si>
  <si>
    <t>PIN9</t>
  </si>
  <si>
    <t>LANG9</t>
  </si>
  <si>
    <t>HAN10</t>
  </si>
  <si>
    <t>PIN10</t>
  </si>
  <si>
    <t>LANG10</t>
  </si>
  <si>
    <t>HAN11</t>
  </si>
  <si>
    <t>PIN11</t>
  </si>
  <si>
    <t>LANG11</t>
  </si>
  <si>
    <t>HAN12</t>
  </si>
  <si>
    <t>PIN12</t>
  </si>
  <si>
    <t>LANG12</t>
  </si>
  <si>
    <t>HAN13</t>
  </si>
  <si>
    <t>PIN13</t>
  </si>
  <si>
    <t>LANG13</t>
  </si>
  <si>
    <t>HAN14</t>
  </si>
  <si>
    <t>PIN14</t>
  </si>
  <si>
    <t>LANG14</t>
  </si>
  <si>
    <t>HAN15</t>
  </si>
  <si>
    <t>PIN15</t>
  </si>
  <si>
    <t>LANG15</t>
  </si>
  <si>
    <t>HAN16</t>
  </si>
  <si>
    <t>PIN16</t>
  </si>
  <si>
    <t>LANG16</t>
  </si>
  <si>
    <t>HAN17</t>
  </si>
  <si>
    <t>PIN17</t>
  </si>
  <si>
    <t>LANG17</t>
  </si>
  <si>
    <t>HAN18</t>
  </si>
  <si>
    <t>PIN18</t>
  </si>
  <si>
    <t>LANG18</t>
  </si>
  <si>
    <t>EN OFF kurz</t>
  </si>
  <si>
    <t xml:space="preserve">EN </t>
  </si>
  <si>
    <t>DE</t>
  </si>
  <si>
    <t>NL</t>
  </si>
  <si>
    <t>RU</t>
  </si>
  <si>
    <t>UKR</t>
  </si>
  <si>
    <t>PL</t>
  </si>
  <si>
    <t>CS</t>
  </si>
  <si>
    <t>SK</t>
  </si>
  <si>
    <t>SL</t>
  </si>
  <si>
    <t>EST</t>
  </si>
  <si>
    <t>LAT</t>
  </si>
  <si>
    <t>LIT</t>
  </si>
  <si>
    <t>FIN</t>
  </si>
  <si>
    <t>HUN</t>
  </si>
  <si>
    <t>EL</t>
  </si>
  <si>
    <t>FR</t>
  </si>
  <si>
    <t>PT</t>
  </si>
  <si>
    <t>IT</t>
  </si>
  <si>
    <t>RO</t>
  </si>
  <si>
    <t>SWE</t>
  </si>
  <si>
    <t>DK</t>
  </si>
  <si>
    <t>TH</t>
  </si>
  <si>
    <t>HI</t>
  </si>
  <si>
    <t>FA</t>
  </si>
  <si>
    <t>AR</t>
  </si>
  <si>
    <t>TR</t>
  </si>
  <si>
    <t>INDO</t>
  </si>
  <si>
    <t>SRP</t>
  </si>
  <si>
    <t>BO</t>
  </si>
  <si>
    <t>HR</t>
  </si>
  <si>
    <t>KO</t>
  </si>
  <si>
    <t>HE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</si>
  <si>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</si>
  <si>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</si>
  <si>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</si>
  <si>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</si>
  <si>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</si>
  <si>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</si>
  <si>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</si>
  <si>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</si>
  <si>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</t>
  </si>
  <si>
    <t>Spalte24</t>
  </si>
  <si>
    <t>Spalte11</t>
  </si>
  <si>
    <t>p</t>
  </si>
  <si>
    <t>Spalte13</t>
  </si>
  <si>
    <t>Spalte14</t>
  </si>
  <si>
    <t>a</t>
  </si>
  <si>
    <t>Spalte16</t>
  </si>
  <si>
    <t>Spalte17</t>
  </si>
  <si>
    <t>l</t>
  </si>
  <si>
    <t>Spalte19</t>
  </si>
  <si>
    <t>Spalte20</t>
  </si>
  <si>
    <t>t</t>
  </si>
  <si>
    <t>Spalte22</t>
  </si>
  <si>
    <t>Spalte23</t>
  </si>
  <si>
    <t>e</t>
  </si>
  <si>
    <t>Spalte25</t>
  </si>
  <si>
    <t>Spalte26</t>
  </si>
  <si>
    <t>1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</si>
  <si>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</si>
  <si>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</si>
  <si>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</si>
  <si>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</si>
  <si>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</si>
  <si>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</si>
  <si>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</si>
  <si>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</si>
  <si>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</si>
  <si>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</si>
  <si>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</si>
  <si>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</si>
  <si>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</si>
  <si>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</si>
  <si>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</si>
  <si>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</si>
  <si>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</si>
  <si>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</si>
  <si>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</si>
  <si>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Spalte47</t>
  </si>
  <si>
    <t>Spalte48</t>
  </si>
  <si>
    <t>Spalte49</t>
  </si>
  <si>
    <t>Spalte50</t>
  </si>
  <si>
    <t>Spalte51</t>
  </si>
  <si>
    <t>Spalte52</t>
  </si>
  <si>
    <t>Spalte53</t>
  </si>
  <si>
    <t>Spalte54</t>
  </si>
  <si>
    <t>Spalte55</t>
  </si>
  <si>
    <t>Spalte56</t>
  </si>
  <si>
    <t>Spalte57</t>
  </si>
  <si>
    <t>Spalte58</t>
  </si>
  <si>
    <t>Spalte59</t>
  </si>
  <si>
    <t>Spalte60</t>
  </si>
  <si>
    <t>Spalte61</t>
  </si>
  <si>
    <t>Spalte62</t>
  </si>
  <si>
    <t>Spalte63</t>
  </si>
  <si>
    <t>Spalte64</t>
  </si>
  <si>
    <t>Spalte65</t>
  </si>
  <si>
    <t>Spalte66</t>
  </si>
  <si>
    <t>Spalte67</t>
  </si>
  <si>
    <t>Spalte68</t>
  </si>
  <si>
    <t>Spalte69</t>
  </si>
  <si>
    <t>Spalte70</t>
  </si>
  <si>
    <t>Spalte71</t>
  </si>
  <si>
    <t>Spalte72</t>
  </si>
  <si>
    <t>Spalte73</t>
  </si>
  <si>
    <t>Spalte74</t>
  </si>
  <si>
    <t>Spalte75</t>
  </si>
  <si>
    <t>Spalte76</t>
  </si>
  <si>
    <t>Spalte77</t>
  </si>
  <si>
    <t>Spalte78</t>
  </si>
  <si>
    <t>Spalte79</t>
  </si>
  <si>
    <t>Spalte80</t>
  </si>
  <si>
    <t>Spalte81</t>
  </si>
  <si>
    <t>Spalte82</t>
  </si>
  <si>
    <t>Spalte83</t>
  </si>
  <si>
    <t>Spalte84</t>
  </si>
  <si>
    <t>Spalte85</t>
  </si>
  <si>
    <t>Spalte86</t>
  </si>
  <si>
    <t>Spalte87</t>
  </si>
  <si>
    <t>Spalte88</t>
  </si>
  <si>
    <t>Spalte89</t>
  </si>
  <si>
    <t>Spalte90</t>
  </si>
  <si>
    <t>Spalte91</t>
  </si>
  <si>
    <t>Spalte92</t>
  </si>
  <si>
    <t>Spalte93</t>
  </si>
  <si>
    <t>Spalte94</t>
  </si>
  <si>
    <t>Spalte95</t>
  </si>
  <si>
    <t xml:space="preserve">剖 </t>
  </si>
  <si>
    <t xml:space="preserve">pōu </t>
  </si>
  <si>
    <t xml:space="preserve">to cut open; to analyze; </t>
  </si>
  <si>
    <t>剖</t>
  </si>
  <si>
    <t>pōu</t>
  </si>
  <si>
    <t>to cut open; to analyze;</t>
  </si>
  <si>
    <t>розрізати; аналізувати;</t>
  </si>
  <si>
    <t>razrezati; analizirati;</t>
  </si>
  <si>
    <t>lahti lõigata; analüüsida;</t>
  </si>
  <si>
    <t>sagriezt; analizēt;</t>
  </si>
  <si>
    <t>pjaustyti; analizuoti;</t>
  </si>
  <si>
    <t>leikata auki; analysoida;</t>
  </si>
  <si>
    <t>felnyitni; elemezni;</t>
  </si>
  <si>
    <t>att skära upp; att analysera;</t>
  </si>
  <si>
    <t>at skære op; at analysere;</t>
  </si>
  <si>
    <t>membedah; menganalisis;</t>
  </si>
  <si>
    <t xml:space="preserve">剖析 </t>
  </si>
  <si>
    <t xml:space="preserve">pōu xī </t>
  </si>
  <si>
    <t xml:space="preserve">to analyze; to dissect </t>
  </si>
  <si>
    <t>析</t>
  </si>
  <si>
    <t>xī</t>
  </si>
  <si>
    <t>to analyze; to dissect</t>
  </si>
  <si>
    <t>аналізувати; препарувати</t>
  </si>
  <si>
    <t>analizirati; razkosati</t>
  </si>
  <si>
    <t>analüüsida; tükeldada</t>
  </si>
  <si>
    <t>analizēt; sadalīt</t>
  </si>
  <si>
    <t>analizuoti; išpjauti</t>
  </si>
  <si>
    <t>analysoida; leikellä</t>
  </si>
  <si>
    <t>elemezni; boncolni</t>
  </si>
  <si>
    <t>att analysera; att dissekera</t>
  </si>
  <si>
    <t>at analysere; at dissekere</t>
  </si>
  <si>
    <t>untuk menganalisis; untuk membedah</t>
  </si>
  <si>
    <t xml:space="preserve">解剖 </t>
  </si>
  <si>
    <t xml:space="preserve">jiě pōu </t>
  </si>
  <si>
    <t xml:space="preserve">to dissect </t>
  </si>
  <si>
    <t>解</t>
  </si>
  <si>
    <t>jiě</t>
  </si>
  <si>
    <t>to dissect</t>
  </si>
  <si>
    <t>розтинати</t>
  </si>
  <si>
    <t>razkosati</t>
  </si>
  <si>
    <t>tükeldada</t>
  </si>
  <si>
    <t>sadalīt</t>
  </si>
  <si>
    <t>išpjauti</t>
  </si>
  <si>
    <t>leikellä</t>
  </si>
  <si>
    <t>boncolni</t>
  </si>
  <si>
    <t>att dissekera</t>
  </si>
  <si>
    <t>at dissekere</t>
  </si>
  <si>
    <t>untuk membedah</t>
  </si>
  <si>
    <t xml:space="preserve">剖腹产 </t>
  </si>
  <si>
    <t xml:space="preserve">pōu fù chǎn </t>
  </si>
  <si>
    <t xml:space="preserve">Cesarean section </t>
  </si>
  <si>
    <t>腹</t>
  </si>
  <si>
    <t>fù</t>
  </si>
  <si>
    <t>产</t>
  </si>
  <si>
    <t>chǎn</t>
  </si>
  <si>
    <t>Cesarean section</t>
  </si>
  <si>
    <t>Кесарів розтин</t>
  </si>
  <si>
    <t>carski rez</t>
  </si>
  <si>
    <t>keisrilõige</t>
  </si>
  <si>
    <t>ķeizargrieziens</t>
  </si>
  <si>
    <t>Cezario pjūvis</t>
  </si>
  <si>
    <t>Keisarinleikkaus</t>
  </si>
  <si>
    <t>Császármetszés</t>
  </si>
  <si>
    <t>kejsarsnitt</t>
  </si>
  <si>
    <t>kejsersnit</t>
  </si>
  <si>
    <t>Operasi caesar</t>
  </si>
  <si>
    <t xml:space="preserve">剖面 </t>
  </si>
  <si>
    <t xml:space="preserve">pōu miàn </t>
  </si>
  <si>
    <t xml:space="preserve">profile; section </t>
  </si>
  <si>
    <t>面</t>
  </si>
  <si>
    <t>miàn</t>
  </si>
  <si>
    <t>profile; section</t>
  </si>
  <si>
    <t>профіль; розріз</t>
  </si>
  <si>
    <t>profil; prerez</t>
  </si>
  <si>
    <t>profiil; lõikamine</t>
  </si>
  <si>
    <t>profils; sekcija</t>
  </si>
  <si>
    <t>profilis; pjūvis</t>
  </si>
  <si>
    <t>profiili; leikkaus</t>
  </si>
  <si>
    <t>profil; szekció</t>
  </si>
  <si>
    <t>profil; sektion</t>
  </si>
  <si>
    <t>profil; snit</t>
  </si>
  <si>
    <t>profil; bagian</t>
  </si>
  <si>
    <t xml:space="preserve">剖宫产 </t>
  </si>
  <si>
    <t xml:space="preserve">pōu gōng chǎn </t>
  </si>
  <si>
    <t>宫</t>
  </si>
  <si>
    <t>gōng</t>
  </si>
  <si>
    <t>кесарів розтин</t>
  </si>
  <si>
    <t xml:space="preserve">剖腹 </t>
  </si>
  <si>
    <t xml:space="preserve">pōu fù </t>
  </si>
  <si>
    <t xml:space="preserve">to cut open the abdomen; to disembowel; to speak from the heart </t>
  </si>
  <si>
    <t>to cut open the abdomen; to disembowel; to speak from the heart</t>
  </si>
  <si>
    <t>розрізати живіт; випотрошити; говорити від щирого серця</t>
  </si>
  <si>
    <t>prerezati trebuh; izkrvaviti; govoriti iz srca</t>
  </si>
  <si>
    <t>kõhu lahti lõigata; välja lõigata; südamest rääkida</t>
  </si>
  <si>
    <t>sagriezt vēdera dobumu; atdalīt vēdera dobumu; runāt no sirds</t>
  </si>
  <si>
    <t>perpjauti pilvą; išpjauti vidurius; kalbėti iš širdies</t>
  </si>
  <si>
    <t>leikata vatsa auki; leikata sisälmykset irti; puhua sydämestä käsin</t>
  </si>
  <si>
    <t>felvágni a hasat; kibelezni; szívből beszélni</t>
  </si>
  <si>
    <t>att skära upp buken; att ta upp ur kroppen; att tala från hjärtat</t>
  </si>
  <si>
    <t>at skære maven op; at udtage organer; at tale fra hjertet</t>
  </si>
  <si>
    <t>membedah perut; mengeluarkan isi perut; berbicara dari hati</t>
  </si>
  <si>
    <t xml:space="preserve">剖白 </t>
  </si>
  <si>
    <t xml:space="preserve">pōu bái </t>
  </si>
  <si>
    <t xml:space="preserve">to explain oneself </t>
  </si>
  <si>
    <t>白</t>
  </si>
  <si>
    <t>bái</t>
  </si>
  <si>
    <t>to explain oneself</t>
  </si>
  <si>
    <t>пояснювати себе</t>
  </si>
  <si>
    <t>razložiti se</t>
  </si>
  <si>
    <t>end seletada</t>
  </si>
  <si>
    <t>paskaidrot sevi</t>
  </si>
  <si>
    <t>paaiškinti save</t>
  </si>
  <si>
    <t>selittää itsensä</t>
  </si>
  <si>
    <t>elmagyarázni magunkat</t>
  </si>
  <si>
    <t>förklara sig</t>
  </si>
  <si>
    <t>at forklare sig selv</t>
  </si>
  <si>
    <t>untuk menjelaskan diri sendiri</t>
  </si>
  <si>
    <t xml:space="preserve">剖视 </t>
  </si>
  <si>
    <t xml:space="preserve">pōu shì </t>
  </si>
  <si>
    <t>视</t>
  </si>
  <si>
    <t>shì</t>
  </si>
  <si>
    <t>аналізувати; розтинати</t>
  </si>
  <si>
    <t>analizirati; secirati</t>
  </si>
  <si>
    <t>analüüsida; lahkamine</t>
  </si>
  <si>
    <t xml:space="preserve">剖解 </t>
  </si>
  <si>
    <t xml:space="preserve">pōu jiě </t>
  </si>
  <si>
    <t xml:space="preserve">to dissect; to analyze </t>
  </si>
  <si>
    <t>to dissect; to analyze</t>
  </si>
  <si>
    <t>препарувати; аналізувати</t>
  </si>
  <si>
    <t>secirati; analizirati</t>
  </si>
  <si>
    <t>lahtilõikama; analüüsima</t>
  </si>
  <si>
    <t>sadalīt; analizēt</t>
  </si>
  <si>
    <t>išpjauti; analizuoti</t>
  </si>
  <si>
    <t>leikellä; analysoida</t>
  </si>
  <si>
    <t>boncolni; elemezni</t>
  </si>
  <si>
    <t>att dissekera; att analysera</t>
  </si>
  <si>
    <t>at dissekere; at analysere</t>
  </si>
  <si>
    <t>untuk membedah; untuk menganalisis</t>
  </si>
  <si>
    <t xml:space="preserve">剖辩 </t>
  </si>
  <si>
    <t xml:space="preserve">pōu biàn </t>
  </si>
  <si>
    <t xml:space="preserve">to analyze; to explain </t>
  </si>
  <si>
    <t>辩</t>
  </si>
  <si>
    <t>biàn</t>
  </si>
  <si>
    <t>to analyze; to explain</t>
  </si>
  <si>
    <t>аналізувати; пояснювати</t>
  </si>
  <si>
    <t>analizirati; razložiti</t>
  </si>
  <si>
    <t>analüüsida; selgitada</t>
  </si>
  <si>
    <t>analizēt; izskaidrot</t>
  </si>
  <si>
    <t>analizuoti; paaiškinti</t>
  </si>
  <si>
    <t>analysoida; selittää</t>
  </si>
  <si>
    <t>elemezni; elmagyarázni</t>
  </si>
  <si>
    <t>att analysera; att förklara</t>
  </si>
  <si>
    <t>at analysere; at forklare</t>
  </si>
  <si>
    <t>untuk menganalisis; untuk menjelaskan</t>
  </si>
  <si>
    <t xml:space="preserve">解剖室 </t>
  </si>
  <si>
    <t xml:space="preserve">jiě pōu shì </t>
  </si>
  <si>
    <t xml:space="preserve">a dissecting room </t>
  </si>
  <si>
    <t>室</t>
  </si>
  <si>
    <t>a dissecting room</t>
  </si>
  <si>
    <t>препарувальна кімната</t>
  </si>
  <si>
    <t>secirnica</t>
  </si>
  <si>
    <t>lahkamine</t>
  </si>
  <si>
    <t>sekcijas kabinets</t>
  </si>
  <si>
    <t>a dissecting room (skrodimo kambarys)</t>
  </si>
  <si>
    <t>leikkelyhuone</t>
  </si>
  <si>
    <t>boncterem</t>
  </si>
  <si>
    <t>ett dissektionsrum</t>
  </si>
  <si>
    <t>et dissektionsrum</t>
  </si>
  <si>
    <t>ruang pembedahan</t>
  </si>
  <si>
    <t xml:space="preserve">剖解图 </t>
  </si>
  <si>
    <t xml:space="preserve">pōu jiě tú </t>
  </si>
  <si>
    <t xml:space="preserve">cutaway diagram </t>
  </si>
  <si>
    <t>图</t>
  </si>
  <si>
    <t>tú</t>
  </si>
  <si>
    <t>cutaway diagram</t>
  </si>
  <si>
    <t>схема розрізу</t>
  </si>
  <si>
    <t>izrezan diagram</t>
  </si>
  <si>
    <t>lõigatud skeem</t>
  </si>
  <si>
    <t>izgriezuma diagramma</t>
  </si>
  <si>
    <t>pjūvio schema</t>
  </si>
  <si>
    <t>leikkauskaavio</t>
  </si>
  <si>
    <t>metszeti ábra</t>
  </si>
  <si>
    <t>ett snittdiagram</t>
  </si>
  <si>
    <t>udsnitsdiagram</t>
  </si>
  <si>
    <t>diagram potongan</t>
  </si>
  <si>
    <t xml:space="preserve">剖视图 </t>
  </si>
  <si>
    <t xml:space="preserve">pōu shì tú </t>
  </si>
  <si>
    <t xml:space="preserve">section view; cutaway view </t>
  </si>
  <si>
    <t>section view; cutaway view</t>
  </si>
  <si>
    <t>вигляд у розрізі; вигляд у розрізі</t>
  </si>
  <si>
    <t>pogled iz prereza; izrez</t>
  </si>
  <si>
    <t>lõikevisioon; lõikevisioon</t>
  </si>
  <si>
    <t>griezuma skats; griezuma skats</t>
  </si>
  <si>
    <t>pjūvio vaizdas; pjūvio vaizdas</t>
  </si>
  <si>
    <t>leikkausnäkymä; leikkausnäkymä</t>
  </si>
  <si>
    <t>metszeti nézet; vágott nézet</t>
  </si>
  <si>
    <t>snittvy; snittvy</t>
  </si>
  <si>
    <t>snitbillede; udsnitsbillede</t>
  </si>
  <si>
    <t>tampilan bagian; tampilan potongan</t>
  </si>
  <si>
    <t xml:space="preserve">横剖面 </t>
  </si>
  <si>
    <t xml:space="preserve">héng pōu miàn </t>
  </si>
  <si>
    <t xml:space="preserve">horizontal section </t>
  </si>
  <si>
    <t>横</t>
  </si>
  <si>
    <t>héng</t>
  </si>
  <si>
    <t>horizontal section</t>
  </si>
  <si>
    <t>горизонтальний розріз</t>
  </si>
  <si>
    <t>vodoravni prerez</t>
  </si>
  <si>
    <t>horisontaalne läbilõige</t>
  </si>
  <si>
    <t>horizontālais griezums</t>
  </si>
  <si>
    <t>horizontalusis pjūvis</t>
  </si>
  <si>
    <t>vaakasuora leikkaus</t>
  </si>
  <si>
    <t>vízszintes metszet</t>
  </si>
  <si>
    <t>horisontellt snitt</t>
  </si>
  <si>
    <t>horisontalt snit</t>
  </si>
  <si>
    <t>bagian horizontal</t>
  </si>
  <si>
    <t xml:space="preserve">纵剖面 </t>
  </si>
  <si>
    <t xml:space="preserve">zòng pōu miàn </t>
  </si>
  <si>
    <t xml:space="preserve">vertical section; longitudinal section </t>
  </si>
  <si>
    <t>纵</t>
  </si>
  <si>
    <t>zòng</t>
  </si>
  <si>
    <t>vertical section; longitudinal section</t>
  </si>
  <si>
    <t>вертикальний розріз; поздовжній розріз</t>
  </si>
  <si>
    <t>navpični prerez; vzdolžni prerez</t>
  </si>
  <si>
    <t>vertikaalne lõige; pikilõige</t>
  </si>
  <si>
    <t>vertikālais griezums; gareniskais griezums</t>
  </si>
  <si>
    <t>vertikalus pjūvis; išilginis pjūvis</t>
  </si>
  <si>
    <t>pystyleikkaus; pitkittäisleikkaus</t>
  </si>
  <si>
    <t>függőleges metszet; hosszmetszet</t>
  </si>
  <si>
    <t>vertikalt snitt; längsgående snitt</t>
  </si>
  <si>
    <t>lodret snit; længdesnit</t>
  </si>
  <si>
    <t>penampang vertikal; penampang memanjang</t>
  </si>
  <si>
    <t xml:space="preserve">解剖学 </t>
  </si>
  <si>
    <t xml:space="preserve">jiě pōu xué </t>
  </si>
  <si>
    <t xml:space="preserve">anatomy </t>
  </si>
  <si>
    <t>学</t>
  </si>
  <si>
    <t>xué</t>
  </si>
  <si>
    <t>anatomy</t>
  </si>
  <si>
    <t>анатомія</t>
  </si>
  <si>
    <t>anatomija</t>
  </si>
  <si>
    <t>anatoomia</t>
  </si>
  <si>
    <t>anatomia</t>
  </si>
  <si>
    <t>anatómia</t>
  </si>
  <si>
    <t>anatomi</t>
  </si>
  <si>
    <t xml:space="preserve">尸体剖检 </t>
  </si>
  <si>
    <t xml:space="preserve">shī tǐ pōu jiǎn </t>
  </si>
  <si>
    <t xml:space="preserve">autopsy </t>
  </si>
  <si>
    <t>尸</t>
  </si>
  <si>
    <t>shī</t>
  </si>
  <si>
    <t>体</t>
  </si>
  <si>
    <t>tǐ</t>
  </si>
  <si>
    <t>检</t>
  </si>
  <si>
    <t>jiǎn</t>
  </si>
  <si>
    <t>autopsy</t>
  </si>
  <si>
    <t>розтин</t>
  </si>
  <si>
    <t>obdukcija</t>
  </si>
  <si>
    <t>autopsia</t>
  </si>
  <si>
    <t>autopsija</t>
  </si>
  <si>
    <t>ruumiinavaus</t>
  </si>
  <si>
    <t>boncolás</t>
  </si>
  <si>
    <t>obduktion</t>
  </si>
  <si>
    <t>otopsi</t>
  </si>
  <si>
    <t xml:space="preserve">剖肝沥胆 </t>
  </si>
  <si>
    <t xml:space="preserve">pōu gān lì dǎn </t>
  </si>
  <si>
    <t xml:space="preserve">to be completely honest and sincere </t>
  </si>
  <si>
    <t>肝</t>
  </si>
  <si>
    <t>gān</t>
  </si>
  <si>
    <t>沥</t>
  </si>
  <si>
    <t>lì</t>
  </si>
  <si>
    <t>胆</t>
  </si>
  <si>
    <t>dǎn</t>
  </si>
  <si>
    <t>to be completely honest and sincere</t>
  </si>
  <si>
    <t>бути повністю чесним і щирим</t>
  </si>
  <si>
    <t>biti popolnoma iskren in pošten</t>
  </si>
  <si>
    <t>olla täiesti aus ja siiras</t>
  </si>
  <si>
    <t>būt pilnīgi godīgam un patiesam</t>
  </si>
  <si>
    <t>būti visiškai sąžiningam ir nuoširdžiam</t>
  </si>
  <si>
    <t>olla täysin rehellinen ja vilpitön</t>
  </si>
  <si>
    <t>teljesen őszinte és becsületes lenni</t>
  </si>
  <si>
    <t>att vara helt ärlig och uppriktig</t>
  </si>
  <si>
    <t>at være helt ærlig og oprigtig</t>
  </si>
  <si>
    <t>untuk benar-benar jujur dan tulus</t>
  </si>
  <si>
    <t xml:space="preserve">剖腹自杀 </t>
  </si>
  <si>
    <t xml:space="preserve">pōu fù zì shā </t>
  </si>
  <si>
    <t>hara-kiri; autopsy of Suicide</t>
  </si>
  <si>
    <t>自</t>
  </si>
  <si>
    <t>zì</t>
  </si>
  <si>
    <t>杀</t>
  </si>
  <si>
    <t>shā</t>
  </si>
  <si>
    <t>харакірі; розтин самогубця</t>
  </si>
  <si>
    <t>hara-kiri; obdukcija samomora</t>
  </si>
  <si>
    <t>hara-kiri; enesetapja autopsia</t>
  </si>
  <si>
    <t>hara-kiri; pašnāvības autopsija</t>
  </si>
  <si>
    <t>hara-kiri; savižudybės autopsija</t>
  </si>
  <si>
    <t>hara-kiri; itsemurhan ruumiinavaus</t>
  </si>
  <si>
    <t>hara-kiri; öngyilkossági boncolás</t>
  </si>
  <si>
    <t>hara-kiri; obduktion av självmord</t>
  </si>
  <si>
    <t>hara-kiri; obduktion af selvmord</t>
  </si>
  <si>
    <t>hara-kiri; otopsi bunuh diri</t>
  </si>
  <si>
    <t xml:space="preserve">剖腹藏珠 </t>
  </si>
  <si>
    <t xml:space="preserve">pōu fù cáng zhū </t>
  </si>
  <si>
    <t xml:space="preserve">Dissection of the abdomen to hide a pearl </t>
  </si>
  <si>
    <t>藏</t>
  </si>
  <si>
    <t>cáng</t>
  </si>
  <si>
    <t>珠</t>
  </si>
  <si>
    <t>zhū</t>
  </si>
  <si>
    <t>Dissection of the abdomen to hide a pearl</t>
  </si>
  <si>
    <t>Розтин живота, щоб заховати перлину</t>
  </si>
  <si>
    <t>prerez trebuha za skrivanje bisera</t>
  </si>
  <si>
    <t>kõhu läbilõige pärli varjamiseks</t>
  </si>
  <si>
    <t>vēdera disekcija, lai paslēptu pērli</t>
  </si>
  <si>
    <t>pilvo pjūvis, siekiant paslėpti perlą</t>
  </si>
  <si>
    <t>vatsan leikkely helmiäisen piilottamiseksi</t>
  </si>
  <si>
    <t>A has felboncolása egy gyöngy elrejtése érdekében</t>
  </si>
  <si>
    <t>Dissektion av buken för att dölja en pärla.</t>
  </si>
  <si>
    <t>dissektion af maven for at skjule en perle</t>
  </si>
  <si>
    <t>Pembedahan perut untuk menyembunyikan mutiara</t>
  </si>
  <si>
    <t xml:space="preserve">尸体解剖 </t>
  </si>
  <si>
    <t xml:space="preserve">shī tǐ jiě pōu </t>
  </si>
  <si>
    <t xml:space="preserve">autopsy; postmortem </t>
  </si>
  <si>
    <t>autopsy; postmortem</t>
  </si>
  <si>
    <t>розтин; розтин</t>
  </si>
  <si>
    <t>obdukcija; obdukcija po smrti</t>
  </si>
  <si>
    <t>autopsia; surmajärgne uuring</t>
  </si>
  <si>
    <t>autopsija; pēcnāves sekcija</t>
  </si>
  <si>
    <t>autopsija; pomirtinis skrodimas</t>
  </si>
  <si>
    <t>ruumiinavaus; ruumiinavaus</t>
  </si>
  <si>
    <t>boncolás; boncolás</t>
  </si>
  <si>
    <t>obduktion; obduktion efter döden</t>
  </si>
  <si>
    <t>obduktion; obduktion efter døden</t>
  </si>
  <si>
    <t>otopsi; postmortem</t>
  </si>
  <si>
    <t xml:space="preserve">人体解剖 </t>
  </si>
  <si>
    <t xml:space="preserve">rén tǐ jiě pōu </t>
  </si>
  <si>
    <t xml:space="preserve">human anatomy </t>
  </si>
  <si>
    <t>人</t>
  </si>
  <si>
    <t>rén</t>
  </si>
  <si>
    <t>human anatomy</t>
  </si>
  <si>
    <t>анатомія людини</t>
  </si>
  <si>
    <t>človeška anatomija</t>
  </si>
  <si>
    <t>inimese anatoomia</t>
  </si>
  <si>
    <t>cilvēka anatomija</t>
  </si>
  <si>
    <t>žmogaus anatomija</t>
  </si>
  <si>
    <t>ihmisen anatomia</t>
  </si>
  <si>
    <t>emberi anatómia</t>
  </si>
  <si>
    <t>mänsklig anatomi</t>
  </si>
  <si>
    <t>menneskelig anatomi</t>
  </si>
  <si>
    <t>anatomi manusia</t>
  </si>
  <si>
    <t xml:space="preserve">析毫剖厘 </t>
  </si>
  <si>
    <t xml:space="preserve">xī háo pōu lí </t>
  </si>
  <si>
    <t xml:space="preserve">to analyze in the finest detail </t>
  </si>
  <si>
    <t>毫</t>
  </si>
  <si>
    <t>háo</t>
  </si>
  <si>
    <t>厘</t>
  </si>
  <si>
    <t>lí</t>
  </si>
  <si>
    <t>to analyze in the finest detail</t>
  </si>
  <si>
    <t>проаналізувати в найдрібніших деталях</t>
  </si>
  <si>
    <t>analizirati do najmanjših podrobnosti</t>
  </si>
  <si>
    <t>analüüsida kõige peenemate üksikasjadega</t>
  </si>
  <si>
    <t>analizēt līdz sīkākajām detaļām</t>
  </si>
  <si>
    <t>analizuoti iki smulkiausių detalių</t>
  </si>
  <si>
    <t>analysoida hienoimpiin yksityiskohtiin</t>
  </si>
  <si>
    <t>a legapróbb részletekig elemezni</t>
  </si>
  <si>
    <t>att analysera i minsta detalj</t>
  </si>
  <si>
    <t>at analysere i de fineste detaljer</t>
  </si>
  <si>
    <t>untuk menganalisis dengan detail terbaik</t>
  </si>
  <si>
    <t xml:space="preserve">解剖麻雀 </t>
  </si>
  <si>
    <t xml:space="preserve">jiě pōu má què </t>
  </si>
  <si>
    <t xml:space="preserve">Dissection of a sparrow </t>
  </si>
  <si>
    <t>麻</t>
  </si>
  <si>
    <t>má</t>
  </si>
  <si>
    <t>雀</t>
  </si>
  <si>
    <t>què</t>
  </si>
  <si>
    <t>Dissection of a sparrow</t>
  </si>
  <si>
    <t>Розтин горобця</t>
  </si>
  <si>
    <t>razkosanje vrabca</t>
  </si>
  <si>
    <t>varblaselehe lahtilõikamine</t>
  </si>
  <si>
    <t>Zvirbļa sekcija</t>
  </si>
  <si>
    <t>Žvirblio skrodimas</t>
  </si>
  <si>
    <t>varpusen paloittelu</t>
  </si>
  <si>
    <t>Egy veréb felboncolása</t>
  </si>
  <si>
    <t>Dissektion av en sparv</t>
  </si>
  <si>
    <t>Dissektion af en spurv</t>
  </si>
  <si>
    <t>Pembedahan burung pipit</t>
  </si>
  <si>
    <t xml:space="preserve">剖腹产手术 </t>
  </si>
  <si>
    <t xml:space="preserve">pōu fù chǎn shǒu shù </t>
  </si>
  <si>
    <t xml:space="preserve">Cesarean section operation </t>
  </si>
  <si>
    <t>手</t>
  </si>
  <si>
    <t>shǒu</t>
  </si>
  <si>
    <t>术</t>
  </si>
  <si>
    <t>shù</t>
  </si>
  <si>
    <t>Cesarean section operation</t>
  </si>
  <si>
    <t>Операція кесаревого розтину</t>
  </si>
  <si>
    <t>operacija s carskim rezom</t>
  </si>
  <si>
    <t>Keisrilõike operatsioon</t>
  </si>
  <si>
    <t>ķeizargrieziena operācija</t>
  </si>
  <si>
    <t>Cezario pjūvio operacija</t>
  </si>
  <si>
    <t>Keisarinleikkausleikkaus</t>
  </si>
  <si>
    <t>Császármetszéses műtét</t>
  </si>
  <si>
    <t>operation med kejsarsnitt</t>
  </si>
  <si>
    <t>operation ved kejsersnit</t>
  </si>
  <si>
    <t>Operasi bedah sesar</t>
  </si>
  <si>
    <t xml:space="preserve">剖宫产手术 </t>
  </si>
  <si>
    <t xml:space="preserve">pōu gōng chǎn shǒu shù </t>
  </si>
  <si>
    <t>Operacija carskega reza</t>
  </si>
  <si>
    <t>Ķeizargrieziena operācija</t>
  </si>
  <si>
    <t>Operation med kejsarsnitt</t>
  </si>
  <si>
    <t xml:space="preserve">人体解剖学 </t>
  </si>
  <si>
    <t xml:space="preserve">rén tǐ jiě pōu xué </t>
  </si>
  <si>
    <t xml:space="preserve">格雷氏解剖学 </t>
  </si>
  <si>
    <t xml:space="preserve">Gé léi Shì Jiě pōu xué </t>
  </si>
  <si>
    <t xml:space="preserve">Gray's Anatomy </t>
  </si>
  <si>
    <t>格</t>
  </si>
  <si>
    <t>Gé</t>
  </si>
  <si>
    <t>雷</t>
  </si>
  <si>
    <t>léi</t>
  </si>
  <si>
    <t>氏</t>
  </si>
  <si>
    <t>Shì</t>
  </si>
  <si>
    <t>Jiě</t>
  </si>
  <si>
    <t>Gray's Anatomy</t>
  </si>
  <si>
    <t>Анатомія Грей</t>
  </si>
  <si>
    <t>Grayeva anatomija</t>
  </si>
  <si>
    <t>Gray anatoomia</t>
  </si>
  <si>
    <t>Greja anatomija</t>
  </si>
  <si>
    <t>Grėjaus anatomija</t>
  </si>
  <si>
    <t>Grayn anatomia</t>
  </si>
  <si>
    <t>Gray anatómiája</t>
  </si>
  <si>
    <t>Anatomi Gray</t>
  </si>
  <si>
    <t>垺</t>
  </si>
  <si>
    <t>póu</t>
  </si>
  <si>
    <t>extremely large</t>
  </si>
  <si>
    <t>надзвичайно великий</t>
  </si>
  <si>
    <t>izredno velik</t>
  </si>
  <si>
    <t>äärmiselt suur</t>
  </si>
  <si>
    <t>ārkārtīgi liels</t>
  </si>
  <si>
    <t>itin didelis</t>
  </si>
  <si>
    <t>erittäin suuri</t>
  </si>
  <si>
    <t>rendkívül nagy</t>
  </si>
  <si>
    <t>extremt stor</t>
  </si>
  <si>
    <t>ekstremt stor</t>
  </si>
  <si>
    <t>sangat besar</t>
  </si>
  <si>
    <t>抔</t>
  </si>
  <si>
    <t xml:space="preserve">póu </t>
  </si>
  <si>
    <t xml:space="preserve">take up both hands; shovelful </t>
  </si>
  <si>
    <t>take up both hands; shovelful</t>
  </si>
  <si>
    <t>брати обома руками; лопатний</t>
  </si>
  <si>
    <t>vzeti obe roki; vzeti v roke</t>
  </si>
  <si>
    <t>võtta mõlemad käed; labida</t>
  </si>
  <si>
    <t>paņemt abām rokām; lāpstīt</t>
  </si>
  <si>
    <t>paimti abiem rankomis; griebti abiem rankomis</t>
  </si>
  <si>
    <t>ottaa molemmat kädet; lapioida</t>
  </si>
  <si>
    <t>mindkét kezét felfogni; lapátolni</t>
  </si>
  <si>
    <t>ta upp båda händerna; skyffla</t>
  </si>
  <si>
    <t>tage begge hænder op; skovlfuld</t>
  </si>
  <si>
    <t>mengangkat kedua tangan; sekop</t>
  </si>
  <si>
    <t xml:space="preserve">裒 </t>
  </si>
  <si>
    <t xml:space="preserve">collect; plunder </t>
  </si>
  <si>
    <t>裒</t>
  </si>
  <si>
    <t>collect; plunder</t>
  </si>
  <si>
    <t>збирати; грабувати</t>
  </si>
  <si>
    <t>zbrati; izropati</t>
  </si>
  <si>
    <t>koguda; röövida</t>
  </si>
  <si>
    <t>savākt; izlaupīt</t>
  </si>
  <si>
    <t>rinkti; grobti</t>
  </si>
  <si>
    <t>kerätä; ryöstää</t>
  </si>
  <si>
    <t>összegyűjteni; kifosztani</t>
  </si>
  <si>
    <t>samla in; plundra</t>
  </si>
  <si>
    <t>indsamle; plyndre</t>
  </si>
  <si>
    <t>mengumpulkan; menjarah</t>
  </si>
  <si>
    <t xml:space="preserve">裒多益寡 </t>
  </si>
  <si>
    <t xml:space="preserve">póu duō yì guǎ </t>
  </si>
  <si>
    <t xml:space="preserve">to take from the rich and give to the poor </t>
  </si>
  <si>
    <t>多</t>
  </si>
  <si>
    <t>duō</t>
  </si>
  <si>
    <t>益</t>
  </si>
  <si>
    <t>yì</t>
  </si>
  <si>
    <t>寡</t>
  </si>
  <si>
    <t>guǎ</t>
  </si>
  <si>
    <t>to take from the rich and give to the poor</t>
  </si>
  <si>
    <t>забирати у багатих і віддавати бідним</t>
  </si>
  <si>
    <t>vzeti bogatim in dati revnim</t>
  </si>
  <si>
    <t>võtta rikastelt ja anda vaestele</t>
  </si>
  <si>
    <t>atņemt no bagātajiem un atdot nabadzīgajiem</t>
  </si>
  <si>
    <t>atimti iš turtingųjų ir atiduoti vargšams</t>
  </si>
  <si>
    <t>ottaa rikkailta ja antaa köyhille</t>
  </si>
  <si>
    <t>elvenni a gazdagoktól és odaadni a szegényeknek</t>
  </si>
  <si>
    <t>att ta från de rika och ge till de fattiga</t>
  </si>
  <si>
    <t>at tage fra de rige og give til de fattige</t>
  </si>
  <si>
    <t>mengambil dari orang kaya dan memberikan kepada orang miskin</t>
  </si>
  <si>
    <t xml:space="preserve">裒敛无厌 </t>
  </si>
  <si>
    <t xml:space="preserve">póu liǎn wú yàn </t>
  </si>
  <si>
    <t xml:space="preserve">to accumulate wealth without satisfaction; to continually plunder </t>
  </si>
  <si>
    <t>敛</t>
  </si>
  <si>
    <t>liǎn</t>
  </si>
  <si>
    <t>无</t>
  </si>
  <si>
    <t>wú</t>
  </si>
  <si>
    <t>厌</t>
  </si>
  <si>
    <t>yàn</t>
  </si>
  <si>
    <t>to accumulate wealth without satisfaction; to continually plunder</t>
  </si>
  <si>
    <t>накопичувати багатство без задоволення; постійно грабувати</t>
  </si>
  <si>
    <t>kopičiti bogastvo brez zadovoljstva; nenehno pleniti</t>
  </si>
  <si>
    <t>koguda rikkust ilma rahuldamata; pidevalt rüüstata</t>
  </si>
  <si>
    <t>uzkrāt bagātību bez apmierinājuma; pastāvīgi laupīt</t>
  </si>
  <si>
    <t>kaupti turtus be pasitenkinimo; nuolat plėšti</t>
  </si>
  <si>
    <t>kerryttää rikkauksia ilman tyydytystä; ryöstää jatkuvasti</t>
  </si>
  <si>
    <t>kielégülés nélkül vagyont felhalmozni; folyamatosan fosztogatni</t>
  </si>
  <si>
    <t>att ackumulera rikedomar utan att vara nöjd; att ständigt plundra</t>
  </si>
  <si>
    <t>at akkumulere rigdom uden at blive tilfredsstillet; at plyndre kontinuerligt</t>
  </si>
  <si>
    <t>mengumpulkan kekayaan tanpa kepuasan; menjarah terus menerus</t>
  </si>
  <si>
    <t xml:space="preserve"> 掊</t>
  </si>
  <si>
    <t>pǒu</t>
  </si>
  <si>
    <t xml:space="preserve">break up; hit </t>
  </si>
  <si>
    <t>掊</t>
  </si>
  <si>
    <t>break up; hit</t>
  </si>
  <si>
    <t>розбивати; бити</t>
  </si>
  <si>
    <t>razbiti; udariti</t>
  </si>
  <si>
    <t>lõhkuda; lüüa</t>
  </si>
  <si>
    <t>salauzt; sadragāt</t>
  </si>
  <si>
    <t>sudaužyti; suduoti smūgį</t>
  </si>
  <si>
    <t>hajottaa; lyödä</t>
  </si>
  <si>
    <t>széttörni; megütni</t>
  </si>
  <si>
    <t>bryta sönder; slå till</t>
  </si>
  <si>
    <t>bryde op; slå</t>
  </si>
  <si>
    <t>memecah; memukul</t>
  </si>
  <si>
    <t>TOU TOTAL</t>
  </si>
  <si>
    <t>BROTHER</t>
  </si>
  <si>
    <t>cut open</t>
  </si>
  <si>
    <t>untie</t>
  </si>
  <si>
    <t>horizontal</t>
  </si>
  <si>
    <t>vertical</t>
  </si>
  <si>
    <t>corpse</t>
  </si>
  <si>
    <t>people</t>
  </si>
  <si>
    <t>analyze</t>
  </si>
  <si>
    <t>grid</t>
  </si>
  <si>
    <t>庺</t>
  </si>
  <si>
    <t>clench</t>
  </si>
  <si>
    <t>take out</t>
  </si>
  <si>
    <t>belly</t>
  </si>
  <si>
    <t>noodle</t>
  </si>
  <si>
    <t>palace</t>
  </si>
  <si>
    <t>white</t>
  </si>
  <si>
    <t>See</t>
  </si>
  <si>
    <t>debate</t>
  </si>
  <si>
    <t>body</t>
  </si>
  <si>
    <t>liver</t>
  </si>
  <si>
    <t>millimeter</t>
  </si>
  <si>
    <t>thunder</t>
  </si>
  <si>
    <t>many</t>
  </si>
  <si>
    <t>converge</t>
  </si>
  <si>
    <t>Produce</t>
  </si>
  <si>
    <t>room</t>
  </si>
  <si>
    <t>picture</t>
  </si>
  <si>
    <t>study</t>
  </si>
  <si>
    <t>Lik</t>
  </si>
  <si>
    <t>since</t>
  </si>
  <si>
    <t>Tibetan</t>
  </si>
  <si>
    <t>numb</t>
  </si>
  <si>
    <t>clan</t>
  </si>
  <si>
    <t>beneficial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</si>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</sst>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0"/>
      <color theme="1"/>
      <name val="Arial"/>
      <family val="2"/>
    </font>
    <font>
      <sz val="12"/>
      <color rgb="FFFF0000"/>
      <name val="Calibri"/>
      <family val="2"/>
    </font>
    <font>
      <sz val="9"/>
      <color theme="1"/>
      <name val="&quot;Google Sans Mono&quot;"/>
    </font>
    <font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u/>
      <sz val="12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sz val="12"/>
      <color rgb="FFC00000"/>
      <name val="Aptos Narrow"/>
      <family val="2"/>
      <scheme val="minor"/>
    </font>
    <font>
      <sz val="11"/>
      <color rgb="FFC00000"/>
      <name val="Source Sans Pro"/>
      <family val="2"/>
    </font>
    <font>
      <sz val="10"/>
      <color rgb="FFC00000"/>
      <name val="Arial"/>
      <family val="2"/>
    </font>
    <font>
      <sz val="11"/>
      <color rgb="FFC00000"/>
      <name val="Aptos Narrow"/>
      <family val="2"/>
      <scheme val="minor"/>
    </font>
    <font>
      <sz val="12"/>
      <color rgb="FFC00000"/>
      <name val="Calibri"/>
      <family val="2"/>
    </font>
    <font>
      <sz val="9"/>
      <color rgb="FFC00000"/>
      <name val="&quot;Google Sans Mono&quot;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4" xfId="0" applyFill="1" applyBorder="1"/>
    <xf numFmtId="0" fontId="0" fillId="3" borderId="5" xfId="0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8" fillId="0" borderId="0" xfId="0" applyFont="1"/>
    <xf numFmtId="0" fontId="0" fillId="0" borderId="4" xfId="0" applyBorder="1"/>
    <xf numFmtId="0" fontId="0" fillId="0" borderId="5" xfId="0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1"/>
    <xf numFmtId="0" fontId="4" fillId="0" borderId="0" xfId="1" applyFont="1"/>
    <xf numFmtId="0" fontId="10" fillId="0" borderId="0" xfId="0" applyFont="1"/>
    <xf numFmtId="0" fontId="11" fillId="0" borderId="0" xfId="2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5" borderId="0" xfId="0" applyFill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15" fillId="0" borderId="4" xfId="0" applyFont="1" applyBorder="1"/>
    <xf numFmtId="0" fontId="15" fillId="0" borderId="5" xfId="0" applyFont="1" applyBorder="1"/>
    <xf numFmtId="0" fontId="16" fillId="0" borderId="0" xfId="0" applyFont="1"/>
    <xf numFmtId="0" fontId="14" fillId="0" borderId="0" xfId="0" applyFont="1" applyAlignment="1">
      <alignment horizontal="center"/>
    </xf>
    <xf numFmtId="0" fontId="17" fillId="4" borderId="0" xfId="0" applyFont="1" applyFill="1" applyAlignment="1">
      <alignment horizontal="center"/>
    </xf>
    <xf numFmtId="0" fontId="17" fillId="4" borderId="0" xfId="0" applyFont="1" applyFill="1"/>
    <xf numFmtId="0" fontId="14" fillId="0" borderId="0" xfId="0" applyFont="1"/>
  </cellXfs>
  <cellStyles count="3">
    <cellStyle name="Link" xfId="2" builtinId="8"/>
    <cellStyle name="Standard" xfId="0" builtinId="0"/>
    <cellStyle name="Standard 2" xfId="1" xr:uid="{62D1D6FE-CDF9-4BD6-B7BA-BA800170214E}"/>
  </cellStyles>
  <dxfs count="14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bace70ba96bdae/ninchanese/RADxxxIKALE214/pou%20cc/PO%20total/WP%20POU%20.xlsx" TargetMode="External"/><Relationship Id="rId1" Type="http://schemas.openxmlformats.org/officeDocument/2006/relationships/externalLinkPath" Target="WP%20POU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rachen (2)"/>
      <sheetName val="Tabelle1"/>
      <sheetName val="裒 "/>
      <sheetName val="剖 "/>
    </sheetNames>
    <definedNames>
      <definedName name="aufteilen"/>
      <definedName name="OpenFile.openfile"/>
      <definedName name="rangeCopy"/>
    </defined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ED695A-FF51-4FAC-9B5B-29E9C0C8DC27}" name="Tabelle1" displayName="Tabelle1" ref="C5:CS1312" totalsRowShown="0" headerRowDxfId="13">
  <autoFilter ref="C5:CS1312" xr:uid="{0BED695A-FF51-4FAC-9B5B-29E9C0C8DC27}"/>
  <tableColumns count="95">
    <tableColumn id="1" xr3:uid="{E75617C2-7D64-440A-982B-50D521F178E7}" name="Spalte1"/>
    <tableColumn id="2" xr3:uid="{5007F0D1-D106-4651-81E8-146446879F8D}" name="Spalte2"/>
    <tableColumn id="3" xr3:uid="{20B4844E-6F95-4FF8-A04E-7B71FB2CF404}" name="Spalte3"/>
    <tableColumn id="4" xr3:uid="{5473A50D-7AF1-42CA-A670-36B34646E1F3}" name="Spalte4" dataDxfId="12"/>
    <tableColumn id="5" xr3:uid="{0CF6297F-CB93-4D92-B0C5-46A8C76B4E54}" name="Spalte5"/>
    <tableColumn id="6" xr3:uid="{22B185D4-AC4D-4294-9499-4B0711D70E90}" name="Spalte6"/>
    <tableColumn id="7" xr3:uid="{3EDE0BD6-CC1D-4E55-B3F0-C55E461A62FD}" name="Spalte7"/>
    <tableColumn id="8" xr3:uid="{05C35157-B3D2-4916-8C7D-75949B4E9A78}" name="Spalte8"/>
    <tableColumn id="9" xr3:uid="{E9AD5882-B877-4F98-8BE4-D3C6F4295B66}" name="S" dataDxfId="11"/>
    <tableColumn id="10" xr3:uid="{35F021DA-90B1-4823-B16A-88285C8F9D3E}" name="Spalte24"/>
    <tableColumn id="11" xr3:uid="{A963D70C-FC22-4960-AABB-C3BFC087E978}" name="Spalte11" dataDxfId="10"/>
    <tableColumn id="12" xr3:uid="{FDEA990E-AFBB-470D-ABBB-4BA373C75320}" name="p" dataDxfId="9"/>
    <tableColumn id="13" xr3:uid="{6D47941B-0C11-4988-8CD4-C183B7028FEA}" name="Spalte13"/>
    <tableColumn id="14" xr3:uid="{5E20D8A7-5F01-46D9-A4B8-EF0DAAF75F03}" name="Spalte14" dataDxfId="8"/>
    <tableColumn id="15" xr3:uid="{B9A60AFB-8D3A-4C1E-8C35-EFD01A287647}" name="a" dataDxfId="7"/>
    <tableColumn id="16" xr3:uid="{7216B283-CF88-4CFF-88CE-74DE813692DC}" name="Spalte16"/>
    <tableColumn id="17" xr3:uid="{921CF65A-8166-44BB-8571-CE2288F34B20}" name="Spalte17" dataDxfId="6"/>
    <tableColumn id="18" xr3:uid="{4C1A6EFF-D818-46A8-BAB9-056CAC9066C6}" name="l" dataDxfId="5"/>
    <tableColumn id="19" xr3:uid="{D7014249-4EF0-47F4-BFC8-A352E711AFEC}" name="Spalte19"/>
    <tableColumn id="20" xr3:uid="{4A115DD7-C300-4200-9F89-F5251222023F}" name="Spalte20" dataDxfId="4"/>
    <tableColumn id="21" xr3:uid="{4F829446-D255-41BF-8CF0-8A92AB3AD8B0}" name="t" dataDxfId="3"/>
    <tableColumn id="22" xr3:uid="{2C8C1710-ED3C-4D86-878F-A8924A5185F4}" name="Spalte22"/>
    <tableColumn id="23" xr3:uid="{F36B6C5A-4914-4FE8-87F9-DA41AA64E1D0}" name="Spalte23" dataDxfId="2"/>
    <tableColumn id="24" xr3:uid="{9B1A16B6-B9B0-46FB-B849-8C4A1CC6A2D5}" name="e" dataDxfId="1"/>
    <tableColumn id="25" xr3:uid="{3BD9689B-3F87-45FF-AA46-3B63048DF664}" name="Spalte25"/>
    <tableColumn id="26" xr3:uid="{0A8124BB-B023-4E22-AD4B-C4FB0F06E7BD}" name="Spalte26" dataDxfId="0"/>
    <tableColumn id="27" xr3:uid="{F8CDA282-459E-47B8-9968-0644ADB03DDF}" name="1"/>
    <tableColumn id="28" xr3:uid="{811CDD83-D447-43A1-8D7D-9C2381504B83}" name="Spalte28"/>
    <tableColumn id="29" xr3:uid="{AABD060A-2504-4DB6-A109-888BF20DEAD1}" name="Spalte29"/>
    <tableColumn id="30" xr3:uid="{63F41201-6561-4958-8BEE-9730394F962D}" name="Spalte30"/>
    <tableColumn id="31" xr3:uid="{7839B770-D41C-492C-B364-0CA36EFB6FF5}" name="Spalte31"/>
    <tableColumn id="32" xr3:uid="{FBEF00D0-2150-4667-A378-894D7C709DCF}" name="Spalte32"/>
    <tableColumn id="33" xr3:uid="{A7047C83-2531-43C0-A0CB-4DADE4F921EF}" name="Spalte33"/>
    <tableColumn id="34" xr3:uid="{735FDB57-3A8A-4C5D-97FC-35914B6D6A8A}" name="Spalte34"/>
    <tableColumn id="35" xr3:uid="{DC28FA49-BA84-45A8-BD1E-CA3CA3ABD7C2}" name="Spalte35"/>
    <tableColumn id="36" xr3:uid="{812CE4FE-F85C-49B5-97C2-48BCE8DFD419}" name="Spalte36"/>
    <tableColumn id="37" xr3:uid="{012237E7-2CF9-4003-B838-A75E8BE043BC}" name="Spalte37"/>
    <tableColumn id="38" xr3:uid="{C2042E85-B909-4E72-A5F9-2DDA75061C62}" name="Spalte38"/>
    <tableColumn id="39" xr3:uid="{7207E943-934F-4F49-9473-909454AC89DA}" name="Spalte39"/>
    <tableColumn id="40" xr3:uid="{3DCBE8B1-3B41-4AB3-BAFA-BC8303AF51C1}" name="Spalte40"/>
    <tableColumn id="41" xr3:uid="{EA644AE5-E745-44A2-9EA8-AB40C7F6CFE2}" name="Spalte41"/>
    <tableColumn id="42" xr3:uid="{FA47EBE4-9FDB-4737-BA0F-14540A18B235}" name="Spalte42"/>
    <tableColumn id="43" xr3:uid="{921C1C1E-24E3-4FFD-82A2-68838AE1B5A1}" name="Spalte43"/>
    <tableColumn id="44" xr3:uid="{752C8DF1-44C2-45E7-80F7-670C1EE70AD3}" name="Spalte44"/>
    <tableColumn id="45" xr3:uid="{B121AAFD-4432-4682-8210-D9EB2CE4DD06}" name="Spalte45"/>
    <tableColumn id="46" xr3:uid="{FFFD6D2A-F8C7-4752-8283-84971F148D64}" name="Spalte46"/>
    <tableColumn id="47" xr3:uid="{3B7F19F9-537F-4764-8625-F5835C9680D6}" name="Spalte47"/>
    <tableColumn id="48" xr3:uid="{10CA76CF-720E-4DA8-A568-965400BBAD3C}" name="Spalte48"/>
    <tableColumn id="49" xr3:uid="{7D75E7CC-7F92-464C-9689-06D111893A0B}" name="Spalte49"/>
    <tableColumn id="50" xr3:uid="{D2A2A063-9B5C-42CB-85C5-4142C7F5CF9F}" name="Spalte50"/>
    <tableColumn id="51" xr3:uid="{185287C2-17CD-4A42-9D11-263272580F76}" name="Spalte51"/>
    <tableColumn id="52" xr3:uid="{10DB4D47-293A-4C77-92A4-2064F3433685}" name="Spalte52"/>
    <tableColumn id="53" xr3:uid="{D8DAB8A1-1BBD-4C9B-AF65-77B23954C8A6}" name="Spalte53"/>
    <tableColumn id="54" xr3:uid="{D8F0E5CF-589B-49F1-A780-231C0DBD068D}" name="Spalte54"/>
    <tableColumn id="55" xr3:uid="{E9BFF80D-B616-4539-95C0-49C3784CC739}" name="Spalte55"/>
    <tableColumn id="56" xr3:uid="{0A9A4480-80E8-498C-85BA-8977B03C5444}" name="Spalte56"/>
    <tableColumn id="57" xr3:uid="{9DFF98B1-16DC-46B9-A848-2B46410AA763}" name="Spalte57"/>
    <tableColumn id="58" xr3:uid="{76DA8BAB-B5D4-4E09-8497-9255D56171EC}" name="Spalte58"/>
    <tableColumn id="59" xr3:uid="{AAE08335-AD4B-49F7-A30F-A74723EAD179}" name="Spalte59"/>
    <tableColumn id="60" xr3:uid="{4B8F051D-83F7-4299-86C6-9A725A908694}" name="Spalte60"/>
    <tableColumn id="61" xr3:uid="{631E6F01-86CE-4E30-90BD-0F0973B31C57}" name="Spalte61"/>
    <tableColumn id="62" xr3:uid="{6D63F0BB-B435-4DBC-BB8F-E6C47DF7D76C}" name="Spalte62"/>
    <tableColumn id="63" xr3:uid="{58374C12-4D24-4A85-80BF-51D1DCD101B3}" name="Spalte63"/>
    <tableColumn id="64" xr3:uid="{CEB78FFC-B08E-4B9A-A484-A2AD2505EA79}" name="Spalte64"/>
    <tableColumn id="65" xr3:uid="{8E717ECC-CAB7-4A47-BDB7-8D7A97E6E6AF}" name="Spalte65"/>
    <tableColumn id="66" xr3:uid="{A8AA99A5-A891-4B84-9736-B5DF468C8900}" name="Spalte66"/>
    <tableColumn id="67" xr3:uid="{56E7796C-E2A0-415A-820F-32651B63AC21}" name="Spalte67"/>
    <tableColumn id="68" xr3:uid="{CE56BD73-1673-49CC-991F-42B4824E300B}" name="Spalte68"/>
    <tableColumn id="69" xr3:uid="{EF4A2BB0-5145-463C-8389-6B6DD5567100}" name="Spalte69"/>
    <tableColumn id="70" xr3:uid="{0A330FA8-96A0-4EDA-8BB7-F3B755BABE33}" name="Spalte70"/>
    <tableColumn id="71" xr3:uid="{2EFECBCF-7A89-4F49-9402-24E97A98BCBB}" name="Spalte71"/>
    <tableColumn id="72" xr3:uid="{70549999-1972-4B43-B78C-78D207EB28D5}" name="Spalte72"/>
    <tableColumn id="73" xr3:uid="{28F6BA31-13B1-4FAB-B47B-FD3F2307D42B}" name="Spalte73"/>
    <tableColumn id="74" xr3:uid="{EC99D63D-0BDD-4457-8D40-80A7E60935C2}" name="Spalte74"/>
    <tableColumn id="75" xr3:uid="{7FED541E-BE3D-4B09-8BD5-C709B6208DE4}" name="Spalte75"/>
    <tableColumn id="76" xr3:uid="{0D8835BF-DB25-4ADF-BA85-D6DDB504FF8B}" name="Spalte76"/>
    <tableColumn id="77" xr3:uid="{7C5CC4B7-F3F5-4CD3-BCDF-9F5AA23E6763}" name="Spalte77"/>
    <tableColumn id="78" xr3:uid="{2DDCC934-50AB-4792-8675-DDF0D3CC2273}" name="Spalte78"/>
    <tableColumn id="79" xr3:uid="{5A8E1AC9-C5B5-4D06-9A67-0BF79B1F99DB}" name="Spalte79"/>
    <tableColumn id="80" xr3:uid="{C8151EDE-D66C-4AA5-A1B2-A67C78D8918A}" name="Spalte80"/>
    <tableColumn id="81" xr3:uid="{D5700004-F756-4E71-935D-EA604EB5F6E7}" name="Spalte81"/>
    <tableColumn id="82" xr3:uid="{98A413E2-F47A-42D6-AB04-DF17D0BB5016}" name="Spalte82"/>
    <tableColumn id="83" xr3:uid="{9606C665-2B6A-49B7-9014-0F36C75E2D0C}" name="Spalte83"/>
    <tableColumn id="84" xr3:uid="{017A3A07-E402-4D95-A8B8-E5D87ADFA8EF}" name="Spalte84"/>
    <tableColumn id="85" xr3:uid="{007A7ED7-F683-4E2F-9E9C-1320E1B05841}" name="Spalte85"/>
    <tableColumn id="86" xr3:uid="{1FAAB115-C037-42C9-A2EB-5541FFF7E01C}" name="Spalte86"/>
    <tableColumn id="87" xr3:uid="{53C52E7A-2114-4485-8274-F72526727FAB}" name="Spalte87"/>
    <tableColumn id="88" xr3:uid="{ABB52643-9940-454E-98D7-3B320602D762}" name="Spalte88"/>
    <tableColumn id="89" xr3:uid="{92D22E93-8736-405E-8B8D-F10317C6F25B}" name="Spalte89"/>
    <tableColumn id="90" xr3:uid="{981A3C2F-10BE-4F7E-97BB-341BBC268B0E}" name="Spalte90"/>
    <tableColumn id="91" xr3:uid="{371A4987-8431-4374-BCC5-6A2250115CE6}" name="Spalte91"/>
    <tableColumn id="92" xr3:uid="{4B2F9826-3931-4BBC-A22F-A9ADA9C3FF5B}" name="Spalte92"/>
    <tableColumn id="93" xr3:uid="{166155F6-E3B4-4DD7-894F-431CEC0D2FBA}" name="Spalte93"/>
    <tableColumn id="94" xr3:uid="{CFF22A41-D84E-496F-8B77-A077EE6AA989}" name="Spalte94"/>
    <tableColumn id="95" xr3:uid="{1CE2E60E-452E-49E3-BEEE-04898EDAC4AB}" name="Spalte9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8C85-877A-4280-B2FF-1F8DD9FE286E}">
  <dimension ref="A1:CS1312"/>
  <sheetViews>
    <sheetView tabSelected="1" workbookViewId="0">
      <selection activeCell="U18" sqref="U18"/>
    </sheetView>
  </sheetViews>
  <sheetFormatPr baseColWidth="10" defaultRowHeight="15"/>
  <cols>
    <col min="1" max="1" width="1.85546875" customWidth="1"/>
    <col min="2" max="2" width="2.5703125" customWidth="1"/>
    <col min="3" max="3" width="12.85546875" customWidth="1"/>
    <col min="4" max="4" width="25.85546875" customWidth="1"/>
    <col min="5" max="5" width="63.42578125" customWidth="1"/>
    <col min="6" max="6" width="56.7109375" style="1" customWidth="1"/>
    <col min="7" max="7" width="9.7109375" customWidth="1"/>
    <col min="8" max="8" width="15.5703125" hidden="1" customWidth="1"/>
    <col min="9" max="9" width="7" hidden="1" customWidth="1"/>
    <col min="10" max="10" width="11.5703125" hidden="1" customWidth="1"/>
    <col min="11" max="11" width="9.7109375" customWidth="1"/>
    <col min="12" max="14" width="10.7109375" customWidth="1"/>
    <col min="17" max="17" width="10.7109375" customWidth="1"/>
    <col min="20" max="20" width="10.7109375" customWidth="1"/>
    <col min="23" max="23" width="10.7109375" customWidth="1"/>
    <col min="26" max="26" width="10.7109375" customWidth="1"/>
    <col min="29" max="29" width="5.5703125" hidden="1" customWidth="1"/>
    <col min="30" max="31" width="0" hidden="1" customWidth="1"/>
    <col min="32" max="32" width="5.42578125" hidden="1" customWidth="1"/>
    <col min="33" max="34" width="0" hidden="1" customWidth="1"/>
    <col min="35" max="35" width="5.7109375" hidden="1" customWidth="1"/>
    <col min="36" max="65" width="0" hidden="1" customWidth="1"/>
  </cols>
  <sheetData>
    <row r="1" spans="1:97">
      <c r="C1" s="36" t="s">
        <v>711</v>
      </c>
      <c r="D1" s="36" t="s">
        <v>712</v>
      </c>
      <c r="J1" t="s">
        <v>0</v>
      </c>
    </row>
    <row r="2" spans="1:97" ht="15.75" thickBot="1">
      <c r="J2" t="s">
        <v>0</v>
      </c>
    </row>
    <row r="3" spans="1:9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  <c r="G3" s="2" t="s">
        <v>6</v>
      </c>
      <c r="H3" s="2" t="s">
        <v>7</v>
      </c>
      <c r="I3" s="2" t="s">
        <v>8</v>
      </c>
      <c r="J3" s="2" t="s">
        <v>9</v>
      </c>
      <c r="K3" s="4" t="s">
        <v>10</v>
      </c>
      <c r="L3" s="5" t="s">
        <v>11</v>
      </c>
      <c r="M3" s="6" t="s">
        <v>6</v>
      </c>
      <c r="N3" s="7" t="s">
        <v>12</v>
      </c>
      <c r="O3" s="8" t="s">
        <v>13</v>
      </c>
      <c r="P3" s="9" t="s">
        <v>7</v>
      </c>
      <c r="Q3" s="7" t="s">
        <v>14</v>
      </c>
      <c r="R3" s="8" t="s">
        <v>15</v>
      </c>
      <c r="S3" s="9" t="s">
        <v>8</v>
      </c>
      <c r="T3" s="7" t="s">
        <v>16</v>
      </c>
      <c r="U3" s="8" t="s">
        <v>17</v>
      </c>
      <c r="V3" s="9" t="s">
        <v>18</v>
      </c>
      <c r="W3" s="7" t="s">
        <v>19</v>
      </c>
      <c r="X3" s="8" t="s">
        <v>20</v>
      </c>
      <c r="Y3" s="9" t="s">
        <v>21</v>
      </c>
      <c r="Z3" s="7" t="s">
        <v>22</v>
      </c>
      <c r="AA3" s="8" t="s">
        <v>23</v>
      </c>
      <c r="AB3" s="9" t="s">
        <v>24</v>
      </c>
      <c r="AC3" s="2" t="s">
        <v>25</v>
      </c>
      <c r="AD3" s="2" t="s">
        <v>26</v>
      </c>
      <c r="AE3" s="2" t="s">
        <v>27</v>
      </c>
      <c r="AF3" s="2" t="s">
        <v>28</v>
      </c>
      <c r="AG3" s="2" t="s">
        <v>29</v>
      </c>
      <c r="AH3" s="2" t="s">
        <v>30</v>
      </c>
      <c r="AI3" s="2" t="s">
        <v>31</v>
      </c>
      <c r="AJ3" s="2" t="s">
        <v>32</v>
      </c>
      <c r="AK3" s="2" t="s">
        <v>33</v>
      </c>
      <c r="AL3" s="2" t="s">
        <v>34</v>
      </c>
      <c r="AM3" s="2" t="s">
        <v>35</v>
      </c>
      <c r="AN3" s="2" t="s">
        <v>36</v>
      </c>
      <c r="AO3" s="2" t="s">
        <v>37</v>
      </c>
      <c r="AP3" s="2" t="s">
        <v>38</v>
      </c>
      <c r="AQ3" s="2" t="s">
        <v>39</v>
      </c>
      <c r="AR3" s="2" t="s">
        <v>40</v>
      </c>
      <c r="AS3" s="2" t="s">
        <v>41</v>
      </c>
      <c r="AT3" s="2" t="s">
        <v>42</v>
      </c>
      <c r="AU3" s="2" t="s">
        <v>43</v>
      </c>
      <c r="AV3" s="2" t="s">
        <v>44</v>
      </c>
      <c r="AW3" s="2" t="s">
        <v>45</v>
      </c>
      <c r="AX3" s="2" t="s">
        <v>46</v>
      </c>
      <c r="AY3" s="2" t="s">
        <v>47</v>
      </c>
      <c r="AZ3" s="2" t="s">
        <v>48</v>
      </c>
      <c r="BA3" s="2" t="s">
        <v>49</v>
      </c>
      <c r="BB3" s="2" t="s">
        <v>50</v>
      </c>
      <c r="BC3" s="2" t="s">
        <v>51</v>
      </c>
      <c r="BD3" s="2" t="s">
        <v>52</v>
      </c>
      <c r="BE3" s="2" t="s">
        <v>53</v>
      </c>
      <c r="BF3" s="2" t="s">
        <v>54</v>
      </c>
      <c r="BG3" s="2" t="s">
        <v>55</v>
      </c>
      <c r="BH3" s="2" t="s">
        <v>56</v>
      </c>
      <c r="BI3" s="2" t="s">
        <v>57</v>
      </c>
      <c r="BJ3" s="2" t="s">
        <v>58</v>
      </c>
      <c r="BK3" s="2" t="s">
        <v>59</v>
      </c>
      <c r="BL3" s="2" t="s">
        <v>60</v>
      </c>
      <c r="BM3" s="2" t="s">
        <v>61</v>
      </c>
      <c r="BN3" s="2" t="s">
        <v>62</v>
      </c>
      <c r="BO3" s="2" t="s">
        <v>63</v>
      </c>
      <c r="BP3" s="2" t="s">
        <v>64</v>
      </c>
      <c r="BQ3" s="2" t="s">
        <v>65</v>
      </c>
      <c r="BR3" s="2" t="s">
        <v>66</v>
      </c>
      <c r="BS3" s="2" t="s">
        <v>67</v>
      </c>
      <c r="BT3" s="2" t="s">
        <v>68</v>
      </c>
      <c r="BU3" s="2" t="s">
        <v>69</v>
      </c>
      <c r="BV3" s="2" t="s">
        <v>70</v>
      </c>
      <c r="BW3" s="2" t="s">
        <v>71</v>
      </c>
      <c r="BX3" s="2" t="s">
        <v>72</v>
      </c>
      <c r="BY3" s="2" t="s">
        <v>73</v>
      </c>
      <c r="BZ3" s="2" t="s">
        <v>74</v>
      </c>
      <c r="CA3" s="2" t="s">
        <v>75</v>
      </c>
      <c r="CB3" s="2" t="s">
        <v>76</v>
      </c>
      <c r="CC3" s="2" t="s">
        <v>77</v>
      </c>
      <c r="CD3" s="2" t="s">
        <v>78</v>
      </c>
      <c r="CE3" s="2" t="s">
        <v>79</v>
      </c>
      <c r="CF3" s="2" t="s">
        <v>80</v>
      </c>
      <c r="CG3" s="2" t="s">
        <v>81</v>
      </c>
      <c r="CH3" s="2" t="s">
        <v>82</v>
      </c>
      <c r="CI3" s="2" t="s">
        <v>83</v>
      </c>
      <c r="CJ3" s="2" t="s">
        <v>84</v>
      </c>
      <c r="CK3" s="2" t="s">
        <v>85</v>
      </c>
      <c r="CL3" s="2" t="s">
        <v>86</v>
      </c>
      <c r="CM3" s="2" t="s">
        <v>87</v>
      </c>
      <c r="CN3" s="2" t="s">
        <v>88</v>
      </c>
      <c r="CO3" s="2" t="s">
        <v>89</v>
      </c>
      <c r="CP3" s="2" t="s">
        <v>90</v>
      </c>
      <c r="CQ3" s="2" t="s">
        <v>91</v>
      </c>
      <c r="CR3" s="2" t="s">
        <v>92</v>
      </c>
      <c r="CS3" s="2" t="s">
        <v>93</v>
      </c>
    </row>
    <row r="4" spans="1:97" s="10" customFormat="1">
      <c r="F4" s="11"/>
      <c r="K4" s="12"/>
      <c r="M4" s="13"/>
      <c r="N4" s="12"/>
      <c r="P4" s="13"/>
      <c r="Q4" s="12"/>
      <c r="S4" s="13"/>
      <c r="T4" s="12"/>
      <c r="V4" s="13"/>
      <c r="W4" s="12"/>
      <c r="Y4" s="13"/>
      <c r="Z4" s="12"/>
      <c r="AB4" s="13"/>
    </row>
    <row r="5" spans="1:97" s="14" customFormat="1">
      <c r="C5" s="14" t="s">
        <v>94</v>
      </c>
      <c r="D5" s="14" t="s">
        <v>95</v>
      </c>
      <c r="E5" s="14" t="s">
        <v>96</v>
      </c>
      <c r="F5" s="15" t="s">
        <v>97</v>
      </c>
      <c r="G5" s="14" t="s">
        <v>98</v>
      </c>
      <c r="H5" s="14" t="s">
        <v>99</v>
      </c>
      <c r="I5" s="14" t="s">
        <v>100</v>
      </c>
      <c r="J5" s="14" t="s">
        <v>101</v>
      </c>
      <c r="K5" s="16" t="s">
        <v>102</v>
      </c>
      <c r="L5" s="14" t="s">
        <v>103</v>
      </c>
      <c r="M5" s="17" t="s">
        <v>104</v>
      </c>
      <c r="N5" s="16" t="s">
        <v>105</v>
      </c>
      <c r="O5" s="14" t="s">
        <v>106</v>
      </c>
      <c r="P5" s="17" t="s">
        <v>107</v>
      </c>
      <c r="Q5" s="16" t="s">
        <v>108</v>
      </c>
      <c r="R5" s="14" t="s">
        <v>109</v>
      </c>
      <c r="S5" s="17" t="s">
        <v>110</v>
      </c>
      <c r="T5" s="16" t="s">
        <v>111</v>
      </c>
      <c r="U5" s="14" t="s">
        <v>112</v>
      </c>
      <c r="V5" s="17" t="s">
        <v>113</v>
      </c>
      <c r="W5" s="16" t="s">
        <v>114</v>
      </c>
      <c r="X5" s="14" t="s">
        <v>115</v>
      </c>
      <c r="Y5" s="17" t="s">
        <v>116</v>
      </c>
      <c r="Z5" s="16" t="s">
        <v>117</v>
      </c>
      <c r="AA5" s="14" t="s">
        <v>118</v>
      </c>
      <c r="AB5" s="17" t="s">
        <v>119</v>
      </c>
      <c r="AC5" s="14" t="s">
        <v>120</v>
      </c>
      <c r="AD5" s="14" t="s">
        <v>121</v>
      </c>
      <c r="AE5" s="14" t="s">
        <v>122</v>
      </c>
      <c r="AF5" s="14" t="s">
        <v>123</v>
      </c>
      <c r="AG5" s="14" t="s">
        <v>124</v>
      </c>
      <c r="AH5" s="14" t="s">
        <v>125</v>
      </c>
      <c r="AI5" s="14" t="s">
        <v>126</v>
      </c>
      <c r="AJ5" s="14" t="s">
        <v>127</v>
      </c>
      <c r="AK5" s="14" t="s">
        <v>128</v>
      </c>
      <c r="AL5" s="14" t="s">
        <v>129</v>
      </c>
      <c r="AM5" s="14" t="s">
        <v>130</v>
      </c>
      <c r="AN5" s="14" t="s">
        <v>131</v>
      </c>
      <c r="AO5" s="14" t="s">
        <v>132</v>
      </c>
      <c r="AP5" s="14" t="s">
        <v>133</v>
      </c>
      <c r="AQ5" s="14" t="s">
        <v>134</v>
      </c>
      <c r="AR5" s="14" t="s">
        <v>135</v>
      </c>
      <c r="AS5" s="14" t="s">
        <v>136</v>
      </c>
      <c r="AT5" s="14" t="s">
        <v>137</v>
      </c>
      <c r="AU5" s="14" t="s">
        <v>138</v>
      </c>
      <c r="AV5" s="14" t="s">
        <v>139</v>
      </c>
      <c r="AW5" s="14" t="s">
        <v>140</v>
      </c>
      <c r="AX5" s="14" t="s">
        <v>141</v>
      </c>
      <c r="AY5" s="14" t="s">
        <v>142</v>
      </c>
      <c r="AZ5" s="14" t="s">
        <v>143</v>
      </c>
      <c r="BA5" s="14" t="s">
        <v>144</v>
      </c>
      <c r="BB5" s="14" t="s">
        <v>145</v>
      </c>
      <c r="BC5" s="14" t="s">
        <v>146</v>
      </c>
      <c r="BD5" s="14" t="s">
        <v>147</v>
      </c>
      <c r="BE5" s="14" t="s">
        <v>148</v>
      </c>
      <c r="BF5" s="14" t="s">
        <v>149</v>
      </c>
      <c r="BG5" s="14" t="s">
        <v>150</v>
      </c>
      <c r="BH5" s="14" t="s">
        <v>151</v>
      </c>
      <c r="BI5" s="14" t="s">
        <v>152</v>
      </c>
      <c r="BJ5" s="14" t="s">
        <v>153</v>
      </c>
      <c r="BK5" s="14" t="s">
        <v>154</v>
      </c>
      <c r="BL5" s="14" t="s">
        <v>155</v>
      </c>
      <c r="BM5" s="14" t="s">
        <v>156</v>
      </c>
      <c r="BN5" s="14" t="s">
        <v>157</v>
      </c>
      <c r="BO5" s="14" t="s">
        <v>158</v>
      </c>
      <c r="BP5" s="14" t="s">
        <v>159</v>
      </c>
      <c r="BQ5" s="14" t="s">
        <v>160</v>
      </c>
      <c r="BR5" s="14" t="s">
        <v>161</v>
      </c>
      <c r="BS5" s="14" t="s">
        <v>162</v>
      </c>
      <c r="BT5" s="14" t="s">
        <v>163</v>
      </c>
      <c r="BU5" s="14" t="s">
        <v>164</v>
      </c>
      <c r="BV5" s="14" t="s">
        <v>165</v>
      </c>
      <c r="BW5" s="14" t="s">
        <v>166</v>
      </c>
      <c r="BX5" s="14" t="s">
        <v>167</v>
      </c>
      <c r="BY5" s="14" t="s">
        <v>168</v>
      </c>
      <c r="BZ5" s="14" t="s">
        <v>169</v>
      </c>
      <c r="CA5" s="14" t="s">
        <v>170</v>
      </c>
      <c r="CB5" s="14" t="s">
        <v>171</v>
      </c>
      <c r="CC5" s="14" t="s">
        <v>172</v>
      </c>
      <c r="CD5" s="14" t="s">
        <v>173</v>
      </c>
      <c r="CE5" s="14" t="s">
        <v>174</v>
      </c>
      <c r="CF5" s="14" t="s">
        <v>175</v>
      </c>
      <c r="CG5" s="14" t="s">
        <v>176</v>
      </c>
      <c r="CH5" s="14" t="s">
        <v>177</v>
      </c>
      <c r="CI5" s="14" t="s">
        <v>178</v>
      </c>
      <c r="CJ5" s="14" t="s">
        <v>179</v>
      </c>
      <c r="CK5" s="14" t="s">
        <v>180</v>
      </c>
      <c r="CL5" s="14" t="s">
        <v>181</v>
      </c>
      <c r="CM5" s="14" t="s">
        <v>182</v>
      </c>
      <c r="CN5" s="14" t="s">
        <v>183</v>
      </c>
      <c r="CO5" s="14" t="s">
        <v>184</v>
      </c>
      <c r="CP5" s="14" t="s">
        <v>185</v>
      </c>
      <c r="CQ5" s="14" t="s">
        <v>186</v>
      </c>
      <c r="CR5" s="14" t="s">
        <v>187</v>
      </c>
      <c r="CS5" s="14" t="s">
        <v>188</v>
      </c>
    </row>
    <row r="6" spans="1:97" s="40" customFormat="1" ht="15.75">
      <c r="C6" s="37" t="s">
        <v>189</v>
      </c>
      <c r="D6" s="37" t="s">
        <v>190</v>
      </c>
      <c r="E6" s="37" t="s">
        <v>191</v>
      </c>
      <c r="F6" s="39" t="str">
        <f ca="1">IFERROR(__xludf.DUMMYFUNCTION("GOOGLETRANSLATE($A2,A$1,B$1)"),"Öffnen; analysieren;")</f>
        <v>Öffnen; analysieren;</v>
      </c>
      <c r="K6" s="41" t="s">
        <v>192</v>
      </c>
      <c r="L6" s="40" t="s">
        <v>193</v>
      </c>
      <c r="M6" s="42" t="s">
        <v>713</v>
      </c>
      <c r="N6" s="41" t="s">
        <v>0</v>
      </c>
      <c r="P6" s="42"/>
      <c r="Q6" s="41"/>
      <c r="S6" s="42"/>
      <c r="T6" s="41"/>
      <c r="V6" s="42"/>
      <c r="W6" s="41"/>
      <c r="Y6" s="42"/>
      <c r="Z6" s="41"/>
      <c r="AB6" s="42"/>
      <c r="BN6" s="43" t="s">
        <v>194</v>
      </c>
      <c r="BO6" s="44" t="str">
        <f ca="1">IFERROR(__xludf.DUMMYFUNCTION("GOOGLETRANSLATE($A2,A$1,B$1)"),"Öffnen; analysieren;")</f>
        <v>Öffnen; analysieren;</v>
      </c>
      <c r="BP6" s="44" t="str">
        <f ca="1">IFERROR(__xludf.DUMMYFUNCTION("GOOGLETRANSLATE($A2,A$1,C$1)"),"open snijden; analyseren;")</f>
        <v>open snijden; analyseren;</v>
      </c>
      <c r="BQ6" s="44" t="str">
        <f ca="1">IFERROR(__xludf.DUMMYFUNCTION("GOOGLETRANSLATE($A2,A$1,D$1)"),"разрезать; анализировать;")</f>
        <v>разрезать; анализировать;</v>
      </c>
      <c r="BR6" s="47" t="s">
        <v>195</v>
      </c>
      <c r="BS6" s="45" t="str">
        <f ca="1">IFERROR(__xludf.DUMMYFUNCTION("GOOGLETRANSLATE($A2,A$1,F$1)"),"otworzyć; analizować;")</f>
        <v>otworzyć; analizować;</v>
      </c>
      <c r="BT6" s="44" t="str">
        <f ca="1">IFERROR(__xludf.DUMMYFUNCTION("GOOGLETRANSLATE($A2,A$1,G$1)"),"Otevřít; analyzovat;")</f>
        <v>Otevřít; analyzovat;</v>
      </c>
      <c r="BU6" s="44" t="str">
        <f ca="1">IFERROR(__xludf.DUMMYFUNCTION("GOOGLETRANSLATE($A2,A$1,H$1)"),"Otvoriť sa; Analyzovať;")</f>
        <v>Otvoriť sa; Analyzovať;</v>
      </c>
      <c r="BV6" s="47" t="s">
        <v>196</v>
      </c>
      <c r="BW6" s="47" t="s">
        <v>197</v>
      </c>
      <c r="BX6" s="47" t="s">
        <v>198</v>
      </c>
      <c r="BY6" s="47" t="s">
        <v>199</v>
      </c>
      <c r="BZ6" s="47" t="s">
        <v>200</v>
      </c>
      <c r="CA6" s="47" t="s">
        <v>201</v>
      </c>
      <c r="CB6" s="44" t="str">
        <f ca="1">IFERROR(__xludf.DUMMYFUNCTION("GOOGLETRANSLATE($A2,A$1,O$1)"),"να κόψει? αναλύω;")</f>
        <v>να κόψει? αναλύω;</v>
      </c>
      <c r="CC6" s="44" t="str">
        <f ca="1">IFERROR(__xludf.DUMMYFUNCTION("GOOGLETRANSLATE($A2,A$1,P$1)"),"s'ouvrir; analyser;")</f>
        <v>s'ouvrir; analyser;</v>
      </c>
      <c r="CD6" s="44" t="str">
        <f ca="1">IFERROR(__xludf.DUMMYFUNCTION("GOOGLETRANSLATE($A2,A$1,Q$1)"),"para abrir; analisar;")</f>
        <v>para abrir; analisar;</v>
      </c>
      <c r="CE6" s="44" t="str">
        <f ca="1">IFERROR(__xludf.DUMMYFUNCTION("GOOGLETRANSLATE($A2,A$1,R$1)"),"per aprire; analizzare;")</f>
        <v>per aprire; analizzare;</v>
      </c>
      <c r="CF6" s="44" t="str">
        <f ca="1">IFERROR(__xludf.DUMMYFUNCTION("GOOGLETRANSLATE($A2,A$1,S$1)"),"a tăia deschis; a analiza;")</f>
        <v>a tăia deschis; a analiza;</v>
      </c>
      <c r="CG6" s="44" t="s">
        <v>202</v>
      </c>
      <c r="CH6" s="44" t="s">
        <v>203</v>
      </c>
      <c r="CI6" s="46" t="str">
        <f ca="1">IFERROR(__xludf.DUMMYFUNCTION("GOOGLETRANSLATE($A2,A$1,V$1)"),"เพื่อตัดเปิด; วิเคราะห์;")</f>
        <v>เพื่อตัดเปิด; วิเคราะห์;</v>
      </c>
      <c r="CJ6" s="44" t="str">
        <f ca="1">IFERROR(__xludf.DUMMYFUNCTION("GOOGLETRANSLATE($A2,A$1,W$1)"),"खुला काटने के लिए; विश्लेषण करने के लिए;")</f>
        <v>खुला काटने के लिए; विश्लेषण करने के लिए;</v>
      </c>
      <c r="CK6" s="44" t="str">
        <f ca="1">IFERROR(__xludf.DUMMYFUNCTION("GOOGLETRANSLATE($A2,A$1,X$1)"),"برای برش باز ؛ برای تجزیه و تحلیل؛")</f>
        <v>برای برش باز ؛ برای تجزیه و تحلیل؛</v>
      </c>
      <c r="CL6" s="44" t="str">
        <f ca="1">IFERROR(__xludf.DUMMYFUNCTION("GOOGLETRANSLATE($A2,A$1,Y$1)"),"لقطع مفتوحة. لتحليل؛")</f>
        <v>لقطع مفتوحة. لتحليل؛</v>
      </c>
      <c r="CM6" s="44" t="str">
        <f ca="1">IFERROR(__xludf.DUMMYFUNCTION("GOOGLETRANSLATE($A2,A$1,Z$1)"),"açık kesmek; analiz etmek;")</f>
        <v>açık kesmek; analiz etmek;</v>
      </c>
      <c r="CN6" s="44" t="s">
        <v>204</v>
      </c>
      <c r="CO6" s="44" t="str">
        <f ca="1">IFERROR(__xludf.DUMMYFUNCTION("GOOGLETRANSLATE($A2,AA$1,AB$1)"),"#VALUE!")</f>
        <v>#VALUE!</v>
      </c>
      <c r="CP6" s="44" t="str">
        <f ca="1">IFERROR(__xludf.DUMMYFUNCTION("GOOGLETRANSLATE($A2,AB$1,AC$1)"),"#VALUE!")</f>
        <v>#VALUE!</v>
      </c>
      <c r="CQ6" s="44" t="str">
        <f ca="1">IFERROR(__xludf.DUMMYFUNCTION("GOOGLETRANSLATE($A2,A$1,AD$1)"),"Otvoriti se; analizirati;")</f>
        <v>Otvoriti se; analizirati;</v>
      </c>
      <c r="CR6" s="44" t="str">
        <f ca="1">IFERROR(__xludf.DUMMYFUNCTION("GOOGLETRANSLATE($A2,A$1,AE$1)"),"잘라 내기 위해; 분석하려면;")</f>
        <v>잘라 내기 위해; 분석하려면;</v>
      </c>
      <c r="CS6" s="44" t="str">
        <f ca="1">IFERROR(__xludf.DUMMYFUNCTION("GOOGLETRANSLATE($A2,B$1,AF$1)"),"לחתוך פתוח; לנתח;")</f>
        <v>לחתוך פתוח; לנתח;</v>
      </c>
    </row>
    <row r="7" spans="1:97" s="14" customFormat="1" ht="15.75">
      <c r="C7" t="s">
        <v>205</v>
      </c>
      <c r="D7" t="s">
        <v>206</v>
      </c>
      <c r="E7" t="s">
        <v>207</v>
      </c>
      <c r="F7" s="19" t="str">
        <f ca="1">IFERROR(__xludf.DUMMYFUNCTION("GOOGLETRANSLATE($A3,A$1,B$1)"),"analysieren; zu sezieren")</f>
        <v>analysieren; zu sezieren</v>
      </c>
      <c r="K7" s="16" t="s">
        <v>192</v>
      </c>
      <c r="L7" s="14" t="s">
        <v>193</v>
      </c>
      <c r="M7" s="17" t="s">
        <v>713</v>
      </c>
      <c r="N7" s="16" t="s">
        <v>208</v>
      </c>
      <c r="O7" s="14" t="s">
        <v>209</v>
      </c>
      <c r="P7" s="17" t="s">
        <v>719</v>
      </c>
      <c r="Q7" s="16" t="s">
        <v>0</v>
      </c>
      <c r="S7" s="17"/>
      <c r="T7" s="16"/>
      <c r="V7" s="17"/>
      <c r="W7" s="16"/>
      <c r="Y7" s="17"/>
      <c r="Z7" s="16"/>
      <c r="AB7" s="17"/>
      <c r="BN7" s="24" t="s">
        <v>210</v>
      </c>
      <c r="BO7" s="21" t="str">
        <f ca="1">IFERROR(__xludf.DUMMYFUNCTION("GOOGLETRANSLATE($A3,A$1,B$1)"),"analysieren; zu sezieren")</f>
        <v>analysieren; zu sezieren</v>
      </c>
      <c r="BP7" s="21" t="str">
        <f ca="1">IFERROR(__xludf.DUMMYFUNCTION("GOOGLETRANSLATE($A3,A$1,C$1)"),"analyseren; om te ontleden")</f>
        <v>analyseren; om te ontleden</v>
      </c>
      <c r="BQ7" s="21" t="str">
        <f ca="1">IFERROR(__xludf.DUMMYFUNCTION("GOOGLETRANSLATE($A3,A$1,D$1)"),"анализировать; рассечь")</f>
        <v>анализировать; рассечь</v>
      </c>
      <c r="BR7" t="s">
        <v>211</v>
      </c>
      <c r="BS7" s="22" t="str">
        <f ca="1">IFERROR(__xludf.DUMMYFUNCTION("GOOGLETRANSLATE($A3,A$1,F$1)"),"analizować; dokonać analizy")</f>
        <v>analizować; dokonać analizy</v>
      </c>
      <c r="BT7" s="21" t="str">
        <f ca="1">IFERROR(__xludf.DUMMYFUNCTION("GOOGLETRANSLATE($A3,A$1,G$1)"),"analyzovat; pitvat")</f>
        <v>analyzovat; pitvat</v>
      </c>
      <c r="BU7" s="21" t="str">
        <f ca="1">IFERROR(__xludf.DUMMYFUNCTION("GOOGLETRANSLATE($A3,A$1,H$1)"),"Analyzovať; rozobrať")</f>
        <v>Analyzovať; rozobrať</v>
      </c>
      <c r="BV7" t="s">
        <v>212</v>
      </c>
      <c r="BW7" t="s">
        <v>213</v>
      </c>
      <c r="BX7" t="s">
        <v>214</v>
      </c>
      <c r="BY7" t="s">
        <v>215</v>
      </c>
      <c r="BZ7" t="s">
        <v>216</v>
      </c>
      <c r="CA7" t="s">
        <v>217</v>
      </c>
      <c r="CB7" s="21" t="str">
        <f ca="1">IFERROR(__xludf.DUMMYFUNCTION("GOOGLETRANSLATE($A3,A$1,O$1)"),"αναλύω; Για να αναλύσω")</f>
        <v>αναλύω; Για να αναλύσω</v>
      </c>
      <c r="CC7" s="21" t="str">
        <f ca="1">IFERROR(__xludf.DUMMYFUNCTION("GOOGLETRANSLATE($A3,A$1,P$1)"),"analyser; se disséquer")</f>
        <v>analyser; se disséquer</v>
      </c>
      <c r="CD7" s="21" t="str">
        <f ca="1">IFERROR(__xludf.DUMMYFUNCTION("GOOGLETRANSLATE($A3,A$1,Q$1)"),"analisar; para dissecar")</f>
        <v>analisar; para dissecar</v>
      </c>
      <c r="CE7" s="21" t="str">
        <f ca="1">IFERROR(__xludf.DUMMYFUNCTION("GOOGLETRANSLATE($A3,A$1,R$1)"),"analizzare; sezionare")</f>
        <v>analizzare; sezionare</v>
      </c>
      <c r="CF7" s="21" t="str">
        <f ca="1">IFERROR(__xludf.DUMMYFUNCTION("GOOGLETRANSLATE($A3,A$1,S$1)"),"a analiza; a diseca")</f>
        <v>a analiza; a diseca</v>
      </c>
      <c r="CG7" t="s">
        <v>218</v>
      </c>
      <c r="CH7" t="s">
        <v>219</v>
      </c>
      <c r="CI7" s="23" t="str">
        <f ca="1">IFERROR(__xludf.DUMMYFUNCTION("GOOGLETRANSLATE($A3,A$1,V$1)"),"วิเคราะห์; เพื่อผ่า")</f>
        <v>วิเคราะห์; เพื่อผ่า</v>
      </c>
      <c r="CJ7" s="21" t="str">
        <f ca="1">IFERROR(__xludf.DUMMYFUNCTION("GOOGLETRANSLATE($A3,A$1,W$1)"),"विश्लेषण करने के लिए; भंग करना")</f>
        <v>विश्लेषण करने के लिए; भंग करना</v>
      </c>
      <c r="CK7" s="21" t="str">
        <f ca="1">IFERROR(__xludf.DUMMYFUNCTION("GOOGLETRANSLATE($A3,A$1,X$1)"),"برای تجزیه و تحلیل؛ جدا کردن")</f>
        <v>برای تجزیه و تحلیل؛ جدا کردن</v>
      </c>
      <c r="CL7" s="21" t="str">
        <f ca="1">IFERROR(__xludf.DUMMYFUNCTION("GOOGLETRANSLATE($A3,A$1,Y$1)"),"لتحليل؛ لتشريح")</f>
        <v>لتحليل؛ لتشريح</v>
      </c>
      <c r="CM7" s="21" t="str">
        <f ca="1">IFERROR(__xludf.DUMMYFUNCTION("GOOGLETRANSLATE($A3,A$1,Z$1)"),"analiz etmek; Disect için")</f>
        <v>analiz etmek; Disect için</v>
      </c>
      <c r="CN7" t="s">
        <v>220</v>
      </c>
      <c r="CO7"/>
      <c r="CP7"/>
      <c r="CQ7" s="21" t="str">
        <f ca="1">IFERROR(__xludf.DUMMYFUNCTION("GOOGLETRANSLATE($A3,A$1,AD$1)"),"analizirati; secirati")</f>
        <v>analizirati; secirati</v>
      </c>
      <c r="CR7" s="21" t="str">
        <f ca="1">IFERROR(__xludf.DUMMYFUNCTION("GOOGLETRANSLATE($A3,A$1,AE$1)"),"분석하려면; 해부합니다")</f>
        <v>분석하려면; 해부합니다</v>
      </c>
      <c r="CS7" s="21" t="str">
        <f ca="1">IFERROR(__xludf.DUMMYFUNCTION("GOOGLETRANSLATE($A3,B$1,AF$1)"),"לנתח; לנתח")</f>
        <v>לנתח; לנתח</v>
      </c>
    </row>
    <row r="8" spans="1:97" ht="15.75">
      <c r="C8" t="s">
        <v>221</v>
      </c>
      <c r="D8" t="s">
        <v>222</v>
      </c>
      <c r="E8" t="s">
        <v>223</v>
      </c>
      <c r="F8" s="19" t="str">
        <f ca="1">IFERROR(__xludf.DUMMYFUNCTION("GOOGLETRANSLATE($A4,A$1,B$1)"),"zu sezieren")</f>
        <v>zu sezieren</v>
      </c>
      <c r="K8" s="25" t="s">
        <v>224</v>
      </c>
      <c r="L8" t="s">
        <v>225</v>
      </c>
      <c r="M8" s="26" t="s">
        <v>714</v>
      </c>
      <c r="N8" s="25" t="s">
        <v>192</v>
      </c>
      <c r="O8" t="s">
        <v>193</v>
      </c>
      <c r="P8" s="26" t="s">
        <v>713</v>
      </c>
      <c r="Q8" s="25" t="s">
        <v>0</v>
      </c>
      <c r="S8" s="26"/>
      <c r="T8" s="25"/>
      <c r="V8" s="26"/>
      <c r="W8" s="25"/>
      <c r="Y8" s="26"/>
      <c r="Z8" s="25"/>
      <c r="AB8" s="26"/>
      <c r="BN8" s="24" t="s">
        <v>226</v>
      </c>
      <c r="BO8" s="21" t="str">
        <f ca="1">IFERROR(__xludf.DUMMYFUNCTION("GOOGLETRANSLATE($A4,A$1,B$1)"),"zu sezieren")</f>
        <v>zu sezieren</v>
      </c>
      <c r="BP8" s="21" t="str">
        <f ca="1">IFERROR(__xludf.DUMMYFUNCTION("GOOGLETRANSLATE($A4,A$1,C$1)"),"om te ontleden")</f>
        <v>om te ontleden</v>
      </c>
      <c r="BQ8" s="21" t="str">
        <f ca="1">IFERROR(__xludf.DUMMYFUNCTION("GOOGLETRANSLATE($A4,A$1,D$1)"),"рассечь")</f>
        <v>рассечь</v>
      </c>
      <c r="BR8" t="s">
        <v>227</v>
      </c>
      <c r="BS8" s="22" t="str">
        <f ca="1">IFERROR(__xludf.DUMMYFUNCTION("GOOGLETRANSLATE($A4,A$1,F$1)"),"dokonać analizy")</f>
        <v>dokonać analizy</v>
      </c>
      <c r="BT8" s="21" t="str">
        <f ca="1">IFERROR(__xludf.DUMMYFUNCTION("GOOGLETRANSLATE($A4,A$1,G$1)"),"pitvat")</f>
        <v>pitvat</v>
      </c>
      <c r="BU8" s="21" t="str">
        <f ca="1">IFERROR(__xludf.DUMMYFUNCTION("GOOGLETRANSLATE($A4,A$1,H$1)"),"rozobrať")</f>
        <v>rozobrať</v>
      </c>
      <c r="BV8" t="s">
        <v>228</v>
      </c>
      <c r="BW8" t="s">
        <v>229</v>
      </c>
      <c r="BX8" t="s">
        <v>230</v>
      </c>
      <c r="BY8" t="s">
        <v>231</v>
      </c>
      <c r="BZ8" t="s">
        <v>232</v>
      </c>
      <c r="CA8" t="s">
        <v>233</v>
      </c>
      <c r="CB8" s="21" t="str">
        <f ca="1">IFERROR(__xludf.DUMMYFUNCTION("GOOGLETRANSLATE($A4,A$1,O$1)"),"Για να αναλύσω")</f>
        <v>Για να αναλύσω</v>
      </c>
      <c r="CC8" s="21" t="str">
        <f ca="1">IFERROR(__xludf.DUMMYFUNCTION("GOOGLETRANSLATE($A4,A$1,P$1)"),"se disséquer")</f>
        <v>se disséquer</v>
      </c>
      <c r="CD8" s="21" t="str">
        <f ca="1">IFERROR(__xludf.DUMMYFUNCTION("GOOGLETRANSLATE($A4,A$1,Q$1)"),"para dissecar")</f>
        <v>para dissecar</v>
      </c>
      <c r="CE8" s="21" t="str">
        <f ca="1">IFERROR(__xludf.DUMMYFUNCTION("GOOGLETRANSLATE($A4,A$1,R$1)"),"sezionare")</f>
        <v>sezionare</v>
      </c>
      <c r="CF8" s="21" t="str">
        <f ca="1">IFERROR(__xludf.DUMMYFUNCTION("GOOGLETRANSLATE($A4,A$1,S$1)"),"a diseca")</f>
        <v>a diseca</v>
      </c>
      <c r="CG8" t="s">
        <v>234</v>
      </c>
      <c r="CH8" t="s">
        <v>235</v>
      </c>
      <c r="CI8" s="23" t="str">
        <f ca="1">IFERROR(__xludf.DUMMYFUNCTION("GOOGLETRANSLATE($A4,A$1,V$1)"),"เพื่อผ่า")</f>
        <v>เพื่อผ่า</v>
      </c>
      <c r="CJ8" s="21" t="str">
        <f ca="1">IFERROR(__xludf.DUMMYFUNCTION("GOOGLETRANSLATE($A4,A$1,W$1)"),"भंग करना")</f>
        <v>भंग करना</v>
      </c>
      <c r="CK8" s="21" t="str">
        <f ca="1">IFERROR(__xludf.DUMMYFUNCTION("GOOGLETRANSLATE($A4,A$1,X$1)"),"جدا کردن")</f>
        <v>جدا کردن</v>
      </c>
      <c r="CL8" s="21" t="str">
        <f ca="1">IFERROR(__xludf.DUMMYFUNCTION("GOOGLETRANSLATE($A4,A$1,Y$1)"),"لتشريح")</f>
        <v>لتشريح</v>
      </c>
      <c r="CM8" s="21" t="str">
        <f ca="1">IFERROR(__xludf.DUMMYFUNCTION("GOOGLETRANSLATE($A4,A$1,Z$1)"),"Disect için")</f>
        <v>Disect için</v>
      </c>
      <c r="CN8" t="s">
        <v>236</v>
      </c>
      <c r="CQ8" s="21" t="str">
        <f ca="1">IFERROR(__xludf.DUMMYFUNCTION("GOOGLETRANSLATE($A4,A$1,AD$1)"),"secirati")</f>
        <v>secirati</v>
      </c>
      <c r="CR8" s="21" t="str">
        <f ca="1">IFERROR(__xludf.DUMMYFUNCTION("GOOGLETRANSLATE($A4,A$1,AE$1)"),"해부합니다")</f>
        <v>해부합니다</v>
      </c>
      <c r="CS8" s="21" t="str">
        <f ca="1">IFERROR(__xludf.DUMMYFUNCTION("GOOGLETRANSLATE($A4,B$1,AF$1)"),"לנתח")</f>
        <v>לנתח</v>
      </c>
    </row>
    <row r="9" spans="1:97" ht="15.75">
      <c r="C9" t="s">
        <v>237</v>
      </c>
      <c r="D9" t="s">
        <v>238</v>
      </c>
      <c r="E9" t="s">
        <v>239</v>
      </c>
      <c r="F9" s="19" t="str">
        <f ca="1">IFERROR(__xludf.DUMMYFUNCTION("GOOGLETRANSLATE($A5,A$1,B$1)"),"Kaiserschnitt")</f>
        <v>Kaiserschnitt</v>
      </c>
      <c r="K9" s="25" t="s">
        <v>192</v>
      </c>
      <c r="L9" t="s">
        <v>193</v>
      </c>
      <c r="M9" s="26" t="s">
        <v>713</v>
      </c>
      <c r="N9" s="25" t="s">
        <v>240</v>
      </c>
      <c r="O9" t="s">
        <v>241</v>
      </c>
      <c r="P9" s="26" t="s">
        <v>724</v>
      </c>
      <c r="Q9" s="25" t="s">
        <v>242</v>
      </c>
      <c r="R9" t="s">
        <v>243</v>
      </c>
      <c r="S9" s="26" t="s">
        <v>736</v>
      </c>
      <c r="T9" s="25" t="s">
        <v>0</v>
      </c>
      <c r="V9" s="26"/>
      <c r="W9" s="25"/>
      <c r="Y9" s="26"/>
      <c r="Z9" s="25"/>
      <c r="AB9" s="26"/>
      <c r="BN9" s="24" t="s">
        <v>244</v>
      </c>
      <c r="BO9" s="21" t="str">
        <f ca="1">IFERROR(__xludf.DUMMYFUNCTION("GOOGLETRANSLATE($A5,A$1,B$1)"),"Kaiserschnitt")</f>
        <v>Kaiserschnitt</v>
      </c>
      <c r="BP9" s="21" t="str">
        <f ca="1">IFERROR(__xludf.DUMMYFUNCTION("GOOGLETRANSLATE($A5,A$1,C$1)"),"Keizersnede")</f>
        <v>Keizersnede</v>
      </c>
      <c r="BQ9" s="21" t="str">
        <f ca="1">IFERROR(__xludf.DUMMYFUNCTION("GOOGLETRANSLATE($A5,A$1,D$1)"),"Кесарево сечение")</f>
        <v>Кесарево сечение</v>
      </c>
      <c r="BR9" t="s">
        <v>245</v>
      </c>
      <c r="BS9" s="22" t="str">
        <f ca="1">IFERROR(__xludf.DUMMYFUNCTION("GOOGLETRANSLATE($A5,A$1,F$1)"),"Cesarskie cięcie")</f>
        <v>Cesarskie cięcie</v>
      </c>
      <c r="BT9" s="21" t="str">
        <f ca="1">IFERROR(__xludf.DUMMYFUNCTION("GOOGLETRANSLATE($A5,A$1,G$1)"),"Cesaanská sekce")</f>
        <v>Cesaanská sekce</v>
      </c>
      <c r="BU9" s="21" t="str">
        <f ca="1">IFERROR(__xludf.DUMMYFUNCTION("GOOGLETRANSLATE($A5,A$1,H$1)"),"Cisársky rez")</f>
        <v>Cisársky rez</v>
      </c>
      <c r="BV9" t="s">
        <v>246</v>
      </c>
      <c r="BW9" t="s">
        <v>247</v>
      </c>
      <c r="BX9" t="s">
        <v>248</v>
      </c>
      <c r="BY9" t="s">
        <v>249</v>
      </c>
      <c r="BZ9" t="s">
        <v>250</v>
      </c>
      <c r="CA9" t="s">
        <v>251</v>
      </c>
      <c r="CB9" s="21" t="str">
        <f ca="1">IFERROR(__xludf.DUMMYFUNCTION("GOOGLETRANSLATE($A5,A$1,O$1)"),"Καισαρική τομή")</f>
        <v>Καισαρική τομή</v>
      </c>
      <c r="CC9" s="21" t="str">
        <f ca="1">IFERROR(__xludf.DUMMYFUNCTION("GOOGLETRANSLATE($A5,A$1,P$1)"),"Césarienne")</f>
        <v>Césarienne</v>
      </c>
      <c r="CD9" s="21" t="str">
        <f ca="1">IFERROR(__xludf.DUMMYFUNCTION("GOOGLETRANSLATE($A5,A$1,Q$1)"),"Cesáriana")</f>
        <v>Cesáriana</v>
      </c>
      <c r="CE9" s="21" t="str">
        <f ca="1">IFERROR(__xludf.DUMMYFUNCTION("GOOGLETRANSLATE($A5,A$1,R$1)"),"Taglio cesareo")</f>
        <v>Taglio cesareo</v>
      </c>
      <c r="CF9" s="21" t="str">
        <f ca="1">IFERROR(__xludf.DUMMYFUNCTION("GOOGLETRANSLATE($A5,A$1,S$1)"),"Secțiune cezariană")</f>
        <v>Secțiune cezariană</v>
      </c>
      <c r="CG9" t="s">
        <v>252</v>
      </c>
      <c r="CH9" t="s">
        <v>253</v>
      </c>
      <c r="CI9" s="23" t="str">
        <f ca="1">IFERROR(__xludf.DUMMYFUNCTION("GOOGLETRANSLATE($A5,A$1,V$1)"),"การผ่าตัดคลอด")</f>
        <v>การผ่าตัดคลอด</v>
      </c>
      <c r="CJ9" s="21" t="str">
        <f ca="1">IFERROR(__xludf.DUMMYFUNCTION("GOOGLETRANSLATE($A5,A$1,W$1)"),"सीज़ेरियन सेक्शन")</f>
        <v>सीज़ेरियन सेक्शन</v>
      </c>
      <c r="CK9" s="21" t="str">
        <f ca="1">IFERROR(__xludf.DUMMYFUNCTION("GOOGLETRANSLATE($A5,A$1,X$1)"),"بخش سزارین")</f>
        <v>بخش سزارین</v>
      </c>
      <c r="CL9" s="21" t="str">
        <f ca="1">IFERROR(__xludf.DUMMYFUNCTION("GOOGLETRANSLATE($A5,A$1,Y$1)"),"العملية القيصرية")</f>
        <v>العملية القيصرية</v>
      </c>
      <c r="CM9" s="21" t="str">
        <f ca="1">IFERROR(__xludf.DUMMYFUNCTION("GOOGLETRANSLATE($A5,A$1,Z$1)"),"Sezaryen")</f>
        <v>Sezaryen</v>
      </c>
      <c r="CN9" t="s">
        <v>254</v>
      </c>
      <c r="CQ9" s="21" t="str">
        <f ca="1">IFERROR(__xludf.DUMMYFUNCTION("GOOGLETRANSLATE($A5,A$1,AD$1)"),"Carski rez")</f>
        <v>Carski rez</v>
      </c>
      <c r="CR9" s="21" t="str">
        <f ca="1">IFERROR(__xludf.DUMMYFUNCTION("GOOGLETRANSLATE($A5,A$1,AE$1)"),"제왕 절개")</f>
        <v>제왕 절개</v>
      </c>
      <c r="CS9" s="21" t="str">
        <f ca="1">IFERROR(__xludf.DUMMYFUNCTION("GOOGLETRANSLATE($A5,B$1,AF$1)"),"ניתוח קיסרי")</f>
        <v>ניתוח קיסרי</v>
      </c>
    </row>
    <row r="10" spans="1:97" ht="15.75">
      <c r="C10" t="s">
        <v>255</v>
      </c>
      <c r="D10" t="s">
        <v>256</v>
      </c>
      <c r="E10" t="s">
        <v>257</v>
      </c>
      <c r="F10" s="19" t="str">
        <f ca="1">IFERROR(__xludf.DUMMYFUNCTION("GOOGLETRANSLATE($A6,A$1,B$1)"),"Profil; Abschnitt")</f>
        <v>Profil; Abschnitt</v>
      </c>
      <c r="K10" s="25" t="s">
        <v>192</v>
      </c>
      <c r="L10" t="s">
        <v>193</v>
      </c>
      <c r="M10" s="26" t="s">
        <v>713</v>
      </c>
      <c r="N10" s="25" t="s">
        <v>258</v>
      </c>
      <c r="O10" t="s">
        <v>259</v>
      </c>
      <c r="P10" s="26" t="s">
        <v>725</v>
      </c>
      <c r="Q10" s="25" t="s">
        <v>0</v>
      </c>
      <c r="S10" s="26" t="s">
        <v>0</v>
      </c>
      <c r="T10" s="25"/>
      <c r="V10" s="26"/>
      <c r="W10" s="25"/>
      <c r="Y10" s="26"/>
      <c r="Z10" s="25"/>
      <c r="AB10" s="26"/>
      <c r="BN10" s="24" t="s">
        <v>260</v>
      </c>
      <c r="BO10" s="21" t="str">
        <f ca="1">IFERROR(__xludf.DUMMYFUNCTION("GOOGLETRANSLATE($A6,A$1,B$1)"),"Profil; Abschnitt")</f>
        <v>Profil; Abschnitt</v>
      </c>
      <c r="BP10" s="21" t="str">
        <f ca="1">IFERROR(__xludf.DUMMYFUNCTION("GOOGLETRANSLATE($A6,A$1,C$1)"),"profiel; sectie")</f>
        <v>profiel; sectie</v>
      </c>
      <c r="BQ10" s="21" t="str">
        <f ca="1">IFERROR(__xludf.DUMMYFUNCTION("GOOGLETRANSLATE($A6,A$1,D$1)"),"профиль; раздел")</f>
        <v>профиль; раздел</v>
      </c>
      <c r="BR10" t="s">
        <v>261</v>
      </c>
      <c r="BS10" s="22" t="str">
        <f ca="1">IFERROR(__xludf.DUMMYFUNCTION("GOOGLETRANSLATE($A6,A$1,F$1)"),"profil; Sekcja")</f>
        <v>profil; Sekcja</v>
      </c>
      <c r="BT10" s="21" t="str">
        <f ca="1">IFERROR(__xludf.DUMMYFUNCTION("GOOGLETRANSLATE($A6,A$1,G$1)"),"profil; sekce")</f>
        <v>profil; sekce</v>
      </c>
      <c r="BU10" s="21" t="str">
        <f ca="1">IFERROR(__xludf.DUMMYFUNCTION("GOOGLETRANSLATE($A6,A$1,H$1)"),"profil; sekcia")</f>
        <v>profil; sekcia</v>
      </c>
      <c r="BV10" t="s">
        <v>262</v>
      </c>
      <c r="BW10" t="s">
        <v>263</v>
      </c>
      <c r="BX10" t="s">
        <v>264</v>
      </c>
      <c r="BY10" t="s">
        <v>265</v>
      </c>
      <c r="BZ10" t="s">
        <v>266</v>
      </c>
      <c r="CA10" t="s">
        <v>267</v>
      </c>
      <c r="CB10" s="21" t="str">
        <f ca="1">IFERROR(__xludf.DUMMYFUNCTION("GOOGLETRANSLATE($A6,A$1,O$1)"),"Προφίλ; Ενότητα")</f>
        <v>Προφίλ; Ενότητα</v>
      </c>
      <c r="CC10" s="21" t="str">
        <f ca="1">IFERROR(__xludf.DUMMYFUNCTION("GOOGLETRANSLATE($A6,A$1,P$1)"),"profil; section")</f>
        <v>profil; section</v>
      </c>
      <c r="CD10" s="21" t="str">
        <f ca="1">IFERROR(__xludf.DUMMYFUNCTION("GOOGLETRANSLATE($A6,A$1,Q$1)"),"perfil; seção")</f>
        <v>perfil; seção</v>
      </c>
      <c r="CE10" s="21" t="str">
        <f ca="1">IFERROR(__xludf.DUMMYFUNCTION("GOOGLETRANSLATE($A6,A$1,R$1)"),"profilo; sezione")</f>
        <v>profilo; sezione</v>
      </c>
      <c r="CF10" s="21" t="str">
        <f ca="1">IFERROR(__xludf.DUMMYFUNCTION("GOOGLETRANSLATE($A6,A$1,S$1)"),"profil; secțiune")</f>
        <v>profil; secțiune</v>
      </c>
      <c r="CG10" t="s">
        <v>268</v>
      </c>
      <c r="CH10" t="s">
        <v>269</v>
      </c>
      <c r="CI10" s="23" t="str">
        <f ca="1">IFERROR(__xludf.DUMMYFUNCTION("GOOGLETRANSLATE($A6,A$1,V$1)"),"ประวัติโดยย่อ; ส่วน")</f>
        <v>ประวัติโดยย่อ; ส่วน</v>
      </c>
      <c r="CJ10" s="21" t="str">
        <f ca="1">IFERROR(__xludf.DUMMYFUNCTION("GOOGLETRANSLATE($A6,A$1,W$1)"),"प्रोफ़ाइल; अनुभाग")</f>
        <v>प्रोफ़ाइल; अनुभाग</v>
      </c>
      <c r="CK10" s="21" t="str">
        <f ca="1">IFERROR(__xludf.DUMMYFUNCTION("GOOGLETRANSLATE($A6,A$1,X$1)"),"مشخصات؛ بخش")</f>
        <v>مشخصات؛ بخش</v>
      </c>
      <c r="CL10" s="21" t="str">
        <f ca="1">IFERROR(__xludf.DUMMYFUNCTION("GOOGLETRANSLATE($A6,A$1,Y$1)"),"حساب تعريفي؛ قسم")</f>
        <v>حساب تعريفي؛ قسم</v>
      </c>
      <c r="CM10" s="21" t="str">
        <f ca="1">IFERROR(__xludf.DUMMYFUNCTION("GOOGLETRANSLATE($A6,A$1,Z$1)"),"profil; bölüm")</f>
        <v>profil; bölüm</v>
      </c>
      <c r="CN10" t="s">
        <v>270</v>
      </c>
      <c r="CQ10" s="21" t="str">
        <f ca="1">IFERROR(__xludf.DUMMYFUNCTION("GOOGLETRANSLATE($A6,A$1,AD$1)"),"profil; odjeljak")</f>
        <v>profil; odjeljak</v>
      </c>
      <c r="CR10" s="21" t="str">
        <f ca="1">IFERROR(__xludf.DUMMYFUNCTION("GOOGLETRANSLATE($A6,A$1,AE$1)"),"프로필; 부분")</f>
        <v>프로필; 부분</v>
      </c>
      <c r="CS10" s="21" t="str">
        <f ca="1">IFERROR(__xludf.DUMMYFUNCTION("GOOGLETRANSLATE($A6,B$1,AF$1)"),"פרופילים; סָעִיף")</f>
        <v>פרופילים; סָעִיף</v>
      </c>
    </row>
    <row r="11" spans="1:97" ht="15.75">
      <c r="C11" t="s">
        <v>271</v>
      </c>
      <c r="D11" t="s">
        <v>272</v>
      </c>
      <c r="E11" t="s">
        <v>239</v>
      </c>
      <c r="F11" s="19" t="str">
        <f ca="1">IFERROR(__xludf.DUMMYFUNCTION("GOOGLETRANSLATE($A7,A$1,B$1)"),"Kaiserschnitt")</f>
        <v>Kaiserschnitt</v>
      </c>
      <c r="K11" s="25" t="s">
        <v>192</v>
      </c>
      <c r="L11" t="s">
        <v>193</v>
      </c>
      <c r="M11" s="26" t="s">
        <v>713</v>
      </c>
      <c r="N11" s="25" t="s">
        <v>273</v>
      </c>
      <c r="O11" t="s">
        <v>274</v>
      </c>
      <c r="P11" s="26" t="s">
        <v>726</v>
      </c>
      <c r="Q11" s="25" t="s">
        <v>242</v>
      </c>
      <c r="R11" t="s">
        <v>243</v>
      </c>
      <c r="S11" s="26" t="s">
        <v>736</v>
      </c>
      <c r="T11" s="25" t="s">
        <v>0</v>
      </c>
      <c r="V11" s="26"/>
      <c r="W11" s="25"/>
      <c r="Y11" s="26"/>
      <c r="Z11" s="25"/>
      <c r="AB11" s="26"/>
      <c r="BN11" s="24" t="s">
        <v>244</v>
      </c>
      <c r="BO11" s="21" t="str">
        <f ca="1">IFERROR(__xludf.DUMMYFUNCTION("GOOGLETRANSLATE($A7,A$1,B$1)"),"Kaiserschnitt")</f>
        <v>Kaiserschnitt</v>
      </c>
      <c r="BP11" s="21" t="str">
        <f ca="1">IFERROR(__xludf.DUMMYFUNCTION("GOOGLETRANSLATE($A7,A$1,C$1)"),"Keizersnede")</f>
        <v>Keizersnede</v>
      </c>
      <c r="BQ11" s="21" t="str">
        <f ca="1">IFERROR(__xludf.DUMMYFUNCTION("GOOGLETRANSLATE($A7,A$1,D$1)"),"Кесарево сечение")</f>
        <v>Кесарево сечение</v>
      </c>
      <c r="BR11" t="s">
        <v>275</v>
      </c>
      <c r="BS11" s="22" t="str">
        <f ca="1">IFERROR(__xludf.DUMMYFUNCTION("GOOGLETRANSLATE($A7,A$1,F$1)"),"Cesarskie cięcie")</f>
        <v>Cesarskie cięcie</v>
      </c>
      <c r="BT11" s="21" t="str">
        <f ca="1">IFERROR(__xludf.DUMMYFUNCTION("GOOGLETRANSLATE($A7,A$1,G$1)"),"Cesaanská sekce")</f>
        <v>Cesaanská sekce</v>
      </c>
      <c r="BU11" s="21" t="str">
        <f ca="1">IFERROR(__xludf.DUMMYFUNCTION("GOOGLETRANSLATE($A7,A$1,H$1)"),"Cisársky rez")</f>
        <v>Cisársky rez</v>
      </c>
      <c r="BV11" t="s">
        <v>246</v>
      </c>
      <c r="BW11" t="s">
        <v>247</v>
      </c>
      <c r="BX11" t="s">
        <v>248</v>
      </c>
      <c r="BY11" t="s">
        <v>249</v>
      </c>
      <c r="BZ11" t="s">
        <v>250</v>
      </c>
      <c r="CA11" t="s">
        <v>251</v>
      </c>
      <c r="CB11" s="21" t="str">
        <f ca="1">IFERROR(__xludf.DUMMYFUNCTION("GOOGLETRANSLATE($A7,A$1,O$1)"),"Καισαρική τομή")</f>
        <v>Καισαρική τομή</v>
      </c>
      <c r="CC11" s="21" t="str">
        <f ca="1">IFERROR(__xludf.DUMMYFUNCTION("GOOGLETRANSLATE($A7,A$1,P$1)"),"Césarienne")</f>
        <v>Césarienne</v>
      </c>
      <c r="CD11" s="21" t="str">
        <f ca="1">IFERROR(__xludf.DUMMYFUNCTION("GOOGLETRANSLATE($A7,A$1,Q$1)"),"Cesáriana")</f>
        <v>Cesáriana</v>
      </c>
      <c r="CE11" s="21" t="str">
        <f ca="1">IFERROR(__xludf.DUMMYFUNCTION("GOOGLETRANSLATE($A7,A$1,R$1)"),"Taglio cesareo")</f>
        <v>Taglio cesareo</v>
      </c>
      <c r="CF11" s="21" t="str">
        <f ca="1">IFERROR(__xludf.DUMMYFUNCTION("GOOGLETRANSLATE($A7,A$1,S$1)"),"Secțiune cezariană")</f>
        <v>Secțiune cezariană</v>
      </c>
      <c r="CG11" t="s">
        <v>252</v>
      </c>
      <c r="CH11" t="s">
        <v>253</v>
      </c>
      <c r="CI11" s="23" t="str">
        <f ca="1">IFERROR(__xludf.DUMMYFUNCTION("GOOGLETRANSLATE($A7,A$1,V$1)"),"การผ่าตัดคลอด")</f>
        <v>การผ่าตัดคลอด</v>
      </c>
      <c r="CJ11" s="21" t="str">
        <f ca="1">IFERROR(__xludf.DUMMYFUNCTION("GOOGLETRANSLATE($A7,A$1,W$1)"),"सीज़ेरियन सेक्शन")</f>
        <v>सीज़ेरियन सेक्शन</v>
      </c>
      <c r="CK11" s="21" t="str">
        <f ca="1">IFERROR(__xludf.DUMMYFUNCTION("GOOGLETRANSLATE($A7,A$1,X$1)"),"بخش سزارین")</f>
        <v>بخش سزارین</v>
      </c>
      <c r="CL11" s="21" t="str">
        <f ca="1">IFERROR(__xludf.DUMMYFUNCTION("GOOGLETRANSLATE($A7,A$1,Y$1)"),"العملية القيصرية")</f>
        <v>العملية القيصرية</v>
      </c>
      <c r="CM11" s="21" t="str">
        <f ca="1">IFERROR(__xludf.DUMMYFUNCTION("GOOGLETRANSLATE($A7,A$1,Z$1)"),"Sezaryen")</f>
        <v>Sezaryen</v>
      </c>
      <c r="CN11" t="s">
        <v>254</v>
      </c>
      <c r="CQ11" s="21" t="str">
        <f ca="1">IFERROR(__xludf.DUMMYFUNCTION("GOOGLETRANSLATE($A7,A$1,AD$1)"),"Carski rez")</f>
        <v>Carski rez</v>
      </c>
      <c r="CR11" s="21" t="str">
        <f ca="1">IFERROR(__xludf.DUMMYFUNCTION("GOOGLETRANSLATE($A7,A$1,AE$1)"),"제왕 절개")</f>
        <v>제왕 절개</v>
      </c>
      <c r="CS11" s="21" t="str">
        <f ca="1">IFERROR(__xludf.DUMMYFUNCTION("GOOGLETRANSLATE($A7,B$1,AF$1)"),"ניתוח קיסרי")</f>
        <v>ניתוח קיסרי</v>
      </c>
    </row>
    <row r="12" spans="1:97" ht="15.75">
      <c r="C12" t="s">
        <v>276</v>
      </c>
      <c r="D12" t="s">
        <v>277</v>
      </c>
      <c r="E12" t="s">
        <v>278</v>
      </c>
      <c r="F12" s="19" t="str">
        <f ca="1">IFERROR(__xludf.DUMMYFUNCTION("GOOGLETRANSLATE($A8,A$1,B$1)"),"den Bauch aufschneiden; auszuschöpfen; aus dem Herzen sprechen")</f>
        <v>den Bauch aufschneiden; auszuschöpfen; aus dem Herzen sprechen</v>
      </c>
      <c r="K12" s="25" t="s">
        <v>192</v>
      </c>
      <c r="L12" t="s">
        <v>193</v>
      </c>
      <c r="M12" s="26" t="s">
        <v>713</v>
      </c>
      <c r="N12" s="25" t="s">
        <v>240</v>
      </c>
      <c r="O12" t="s">
        <v>241</v>
      </c>
      <c r="P12" s="26" t="s">
        <v>724</v>
      </c>
      <c r="Q12" s="25" t="s">
        <v>0</v>
      </c>
      <c r="S12" s="26" t="s">
        <v>0</v>
      </c>
      <c r="T12" s="25"/>
      <c r="V12" s="26"/>
      <c r="W12" s="25"/>
      <c r="Y12" s="26"/>
      <c r="Z12" s="25"/>
      <c r="AB12" s="26"/>
      <c r="BN12" s="24" t="s">
        <v>279</v>
      </c>
      <c r="BO12" s="21" t="str">
        <f ca="1">IFERROR(__xludf.DUMMYFUNCTION("GOOGLETRANSLATE($A8,A$1,B$1)"),"den Bauch aufschneiden; auszuschöpfen; aus dem Herzen sprechen")</f>
        <v>den Bauch aufschneiden; auszuschöpfen; aus dem Herzen sprechen</v>
      </c>
      <c r="BP12" s="21" t="str">
        <f ca="1">IFERROR(__xludf.DUMMYFUNCTION("GOOGLETRANSLATE($A8,A$1,C$1)"),"om de buik open te snijden; om te ontdoen; om vanuit het hart te spreken")</f>
        <v>om de buik open te snijden; om te ontdoen; om vanuit het hart te spreken</v>
      </c>
      <c r="BQ12" s="21" t="str">
        <f ca="1">IFERROR(__xludf.DUMMYFUNCTION("GOOGLETRANSLATE($A8,A$1,D$1)"),"разрезать живот; выпадать; говорить от сердца")</f>
        <v>разрезать живот; выпадать; говорить от сердца</v>
      </c>
      <c r="BR12" t="s">
        <v>280</v>
      </c>
      <c r="BS12" s="22" t="str">
        <f ca="1">IFERROR(__xludf.DUMMYFUNCTION("GOOGLETRANSLATE($A8,A$1,F$1)"),"otworzyć brzuch; odejść; mówić z serca")</f>
        <v>otworzyć brzuch; odejść; mówić z serca</v>
      </c>
      <c r="BT12" s="21" t="str">
        <f ca="1">IFERROR(__xludf.DUMMYFUNCTION("GOOGLETRANSLATE($A8,A$1,G$1)"),"Otevřít břicho; Disembowel; mluvit ze srdce")</f>
        <v>Otevřít břicho; Disembowel; mluvit ze srdce</v>
      </c>
      <c r="BU12" s="21" t="str">
        <f ca="1">IFERROR(__xludf.DUMMYFUNCTION("GOOGLETRANSLATE($A8,A$1,H$1)"),"Otvoriť brucho; Disembowel; hovoriť zo srdca")</f>
        <v>Otvoriť brucho; Disembowel; hovoriť zo srdca</v>
      </c>
      <c r="BV12" t="s">
        <v>281</v>
      </c>
      <c r="BW12" t="s">
        <v>282</v>
      </c>
      <c r="BX12" t="s">
        <v>283</v>
      </c>
      <c r="BY12" t="s">
        <v>284</v>
      </c>
      <c r="BZ12" t="s">
        <v>285</v>
      </c>
      <c r="CA12" t="s">
        <v>286</v>
      </c>
      <c r="CB12" s="21" t="str">
        <f ca="1">IFERROR(__xludf.DUMMYFUNCTION("GOOGLETRANSLATE($A8,A$1,O$1)"),"να κόψει την κοιλιά. να αποβιβαστεί? να μιλήσω από την καρδιά")</f>
        <v>να κόψει την κοιλιά. να αποβιβαστεί? να μιλήσω από την καρδιά</v>
      </c>
      <c r="CC12" s="21" t="str">
        <f ca="1">IFERROR(__xludf.DUMMYFUNCTION("GOOGLETRANSLATE($A8,A$1,P$1)"),"pour ouvrir l'abdomen; désincarner; parler du cœur")</f>
        <v>pour ouvrir l'abdomen; désincarner; parler du cœur</v>
      </c>
      <c r="CD12" s="21" t="str">
        <f ca="1">IFERROR(__xludf.DUMMYFUNCTION("GOOGLETRANSLATE($A8,A$1,Q$1)"),"abrir o abdômen; desembarcar; Para falar de coração")</f>
        <v>abrir o abdômen; desembarcar; Para falar de coração</v>
      </c>
      <c r="CE12" s="21" t="str">
        <f ca="1">IFERROR(__xludf.DUMMYFUNCTION("GOOGLETRANSLATE($A8,A$1,R$1)"),"per tagliare l'addome; a sbarcare; Per parlare dal cuore")</f>
        <v>per tagliare l'addome; a sbarcare; Per parlare dal cuore</v>
      </c>
      <c r="CF12" s="21" t="str">
        <f ca="1">IFERROR(__xludf.DUMMYFUNCTION("GOOGLETRANSLATE($A8,A$1,S$1)"),"Pentru a tăia abdomenul; a dezactiva; a vorbi din inimă")</f>
        <v>Pentru a tăia abdomenul; a dezactiva; a vorbi din inimă</v>
      </c>
      <c r="CG12" t="s">
        <v>287</v>
      </c>
      <c r="CH12" t="s">
        <v>288</v>
      </c>
      <c r="CI12" s="23" t="str">
        <f ca="1">IFERROR(__xludf.DUMMYFUNCTION("GOOGLETRANSLATE($A8,A$1,V$1)"),"เพื่อตัดเปิดช่องท้อง; เพื่อปลดเปลื้อง; พูดจากหัวใจ")</f>
        <v>เพื่อตัดเปิดช่องท้อง; เพื่อปลดเปลื้อง; พูดจากหัวใจ</v>
      </c>
      <c r="CJ12" s="21" t="str">
        <f ca="1">IFERROR(__xludf.DUMMYFUNCTION("GOOGLETRANSLATE($A8,A$1,W$1)"),"पेट को खोलने के लिए; असंतुष्ट करने के लिए; दिल से बोलने के लिए")</f>
        <v>पेट को खोलने के लिए; असंतुष्ट करने के लिए; दिल से बोलने के लिए</v>
      </c>
      <c r="CK12" s="21" t="str">
        <f ca="1">IFERROR(__xludf.DUMMYFUNCTION("GOOGLETRANSLATE($A8,A$1,X$1)"),"برای کاهش شکم ؛ به Disembowel ؛ از قلب صحبت کردن")</f>
        <v>برای کاهش شکم ؛ به Disembowel ؛ از قلب صحبت کردن</v>
      </c>
      <c r="CL12" s="21" t="str">
        <f ca="1">IFERROR(__xludf.DUMMYFUNCTION("GOOGLETRANSLATE($A8,A$1,Y$1)"),"لقطع البطن. لنزعها. للتحدث من القلب")</f>
        <v>لقطع البطن. لنزعها. للتحدث من القلب</v>
      </c>
      <c r="CM12" s="21" t="str">
        <f ca="1">IFERROR(__xludf.DUMMYFUNCTION("GOOGLETRANSLATE($A8,A$1,Z$1)"),"karnını açmak; yıkmak; Kalpten konuşmak")</f>
        <v>karnını açmak; yıkmak; Kalpten konuşmak</v>
      </c>
      <c r="CN12" t="s">
        <v>289</v>
      </c>
      <c r="CQ12" s="21" t="str">
        <f ca="1">IFERROR(__xludf.DUMMYFUNCTION("GOOGLETRANSLATE($A8,A$1,AD$1)"),"Otvoriti trbuh; DISEMWOWEL; govoriti iz srca")</f>
        <v>Otvoriti trbuh; DISEMWOWEL; govoriti iz srca</v>
      </c>
      <c r="CR12" s="21" t="str">
        <f ca="1">IFERROR(__xludf.DUMMYFUNCTION("GOOGLETRANSLATE($A8,A$1,AE$1)"),"복부를 자르기 위해; disembowel; 마음에서 말하기 위해")</f>
        <v>복부를 자르기 위해; disembowel; 마음에서 말하기 위해</v>
      </c>
      <c r="CS12" s="21" t="str">
        <f ca="1">IFERROR(__xludf.DUMMYFUNCTION("GOOGLETRANSLATE($A8,B$1,AF$1)"),"לחתוך את הבטן; לפרוק; לדבר מהלב")</f>
        <v>לחתוך את הבטן; לפרוק; לדבר מהלב</v>
      </c>
    </row>
    <row r="13" spans="1:97" ht="15.75">
      <c r="C13" t="s">
        <v>290</v>
      </c>
      <c r="D13" t="s">
        <v>291</v>
      </c>
      <c r="E13" t="s">
        <v>292</v>
      </c>
      <c r="F13" s="19" t="str">
        <f ca="1">IFERROR(__xludf.DUMMYFUNCTION("GOOGLETRANSLATE($A9,A$1,B$1)"),"sich erklären")</f>
        <v>sich erklären</v>
      </c>
      <c r="K13" s="25" t="s">
        <v>192</v>
      </c>
      <c r="L13" t="s">
        <v>193</v>
      </c>
      <c r="M13" s="26" t="s">
        <v>713</v>
      </c>
      <c r="N13" s="25" t="s">
        <v>293</v>
      </c>
      <c r="O13" t="s">
        <v>294</v>
      </c>
      <c r="P13" s="26" t="s">
        <v>727</v>
      </c>
      <c r="Q13" s="25" t="s">
        <v>0</v>
      </c>
      <c r="S13" s="26" t="s">
        <v>0</v>
      </c>
      <c r="T13" s="25"/>
      <c r="V13" s="26"/>
      <c r="W13" s="25"/>
      <c r="Y13" s="26"/>
      <c r="Z13" s="25"/>
      <c r="AB13" s="26"/>
      <c r="BN13" s="24" t="s">
        <v>295</v>
      </c>
      <c r="BO13" s="21" t="str">
        <f ca="1">IFERROR(__xludf.DUMMYFUNCTION("GOOGLETRANSLATE($A9,A$1,B$1)"),"sich erklären")</f>
        <v>sich erklären</v>
      </c>
      <c r="BP13" s="21" t="str">
        <f ca="1">IFERROR(__xludf.DUMMYFUNCTION("GOOGLETRANSLATE($A9,A$1,C$1)"),"om zichzelf uit te leggen")</f>
        <v>om zichzelf uit te leggen</v>
      </c>
      <c r="BQ13" s="21" t="str">
        <f ca="1">IFERROR(__xludf.DUMMYFUNCTION("GOOGLETRANSLATE($A9,A$1,D$1)"),"чтобы объяснить себя")</f>
        <v>чтобы объяснить себя</v>
      </c>
      <c r="BR13" t="s">
        <v>296</v>
      </c>
      <c r="BS13" s="22" t="str">
        <f ca="1">IFERROR(__xludf.DUMMYFUNCTION("GOOGLETRANSLATE($A9,A$1,F$1)"),"wyjaśnić się")</f>
        <v>wyjaśnić się</v>
      </c>
      <c r="BT13" s="21" t="str">
        <f ca="1">IFERROR(__xludf.DUMMYFUNCTION("GOOGLETRANSLATE($A9,A$1,G$1)"),"vysvětlit se")</f>
        <v>vysvětlit se</v>
      </c>
      <c r="BU13" s="21" t="str">
        <f ca="1">IFERROR(__xludf.DUMMYFUNCTION("GOOGLETRANSLATE($A9,A$1,H$1)"),"vysvetliť sa")</f>
        <v>vysvetliť sa</v>
      </c>
      <c r="BV13" t="s">
        <v>297</v>
      </c>
      <c r="BW13" t="s">
        <v>298</v>
      </c>
      <c r="BX13" t="s">
        <v>299</v>
      </c>
      <c r="BY13" t="s">
        <v>300</v>
      </c>
      <c r="BZ13" t="s">
        <v>301</v>
      </c>
      <c r="CA13" t="s">
        <v>302</v>
      </c>
      <c r="CB13" s="21" t="str">
        <f ca="1">IFERROR(__xludf.DUMMYFUNCTION("GOOGLETRANSLATE($A9,A$1,O$1)"),"Για να εξηγήσω τον εαυτό του")</f>
        <v>Για να εξηγήσω τον εαυτό του</v>
      </c>
      <c r="CC13" s="21" t="str">
        <f ca="1">IFERROR(__xludf.DUMMYFUNCTION("GOOGLETRANSLATE($A9,A$1,P$1)"),"s'expliquer")</f>
        <v>s'expliquer</v>
      </c>
      <c r="CD13" s="21" t="str">
        <f ca="1">IFERROR(__xludf.DUMMYFUNCTION("GOOGLETRANSLATE($A9,A$1,Q$1)"),"para explicar a si mesmo")</f>
        <v>para explicar a si mesmo</v>
      </c>
      <c r="CE13" s="21" t="str">
        <f ca="1">IFERROR(__xludf.DUMMYFUNCTION("GOOGLETRANSLATE($A9,A$1,R$1)"),"per spiegarsi")</f>
        <v>per spiegarsi</v>
      </c>
      <c r="CF13" s="21" t="str">
        <f ca="1">IFERROR(__xludf.DUMMYFUNCTION("GOOGLETRANSLATE($A9,A$1,S$1)"),"a explica pe sine")</f>
        <v>a explica pe sine</v>
      </c>
      <c r="CG13" t="s">
        <v>303</v>
      </c>
      <c r="CH13" t="s">
        <v>304</v>
      </c>
      <c r="CI13" s="23" t="str">
        <f ca="1">IFERROR(__xludf.DUMMYFUNCTION("GOOGLETRANSLATE($A9,A$1,V$1)"),"เพื่ออธิบายตนเอง")</f>
        <v>เพื่ออธิบายตนเอง</v>
      </c>
      <c r="CJ13" s="21" t="str">
        <f ca="1">IFERROR(__xludf.DUMMYFUNCTION("GOOGLETRANSLATE($A9,A$1,W$1)"),"अपने आप को समझाना")</f>
        <v>अपने आप को समझाना</v>
      </c>
      <c r="CK13" s="21" t="str">
        <f ca="1">IFERROR(__xludf.DUMMYFUNCTION("GOOGLETRANSLATE($A9,A$1,X$1)"),"برای توضیح خود")</f>
        <v>برای توضیح خود</v>
      </c>
      <c r="CL13" s="21" t="str">
        <f ca="1">IFERROR(__xludf.DUMMYFUNCTION("GOOGLETRANSLATE($A9,A$1,Y$1)"),"لشرح نفسه")</f>
        <v>لشرح نفسه</v>
      </c>
      <c r="CM13" s="21" t="str">
        <f ca="1">IFERROR(__xludf.DUMMYFUNCTION("GOOGLETRANSLATE($A9,A$1,Z$1)"),"kendini açıklamak")</f>
        <v>kendini açıklamak</v>
      </c>
      <c r="CN13" t="s">
        <v>305</v>
      </c>
      <c r="CQ13" s="21" t="str">
        <f ca="1">IFERROR(__xludf.DUMMYFUNCTION("GOOGLETRANSLATE($A9,A$1,AD$1)"),"objasniti se")</f>
        <v>objasniti se</v>
      </c>
      <c r="CR13" s="21" t="str">
        <f ca="1">IFERROR(__xludf.DUMMYFUNCTION("GOOGLETRANSLATE($A9,A$1,AE$1)"),"자신을 설명하기 위해")</f>
        <v>자신을 설명하기 위해</v>
      </c>
      <c r="CS13" s="21" t="str">
        <f ca="1">IFERROR(__xludf.DUMMYFUNCTION("GOOGLETRANSLATE($A9,B$1,AF$1)"),"להסביר את עצמך")</f>
        <v>להסביר את עצמך</v>
      </c>
    </row>
    <row r="14" spans="1:97" ht="15.75">
      <c r="C14" t="s">
        <v>306</v>
      </c>
      <c r="D14" t="s">
        <v>307</v>
      </c>
      <c r="E14" t="s">
        <v>207</v>
      </c>
      <c r="F14" s="19" t="str">
        <f ca="1">IFERROR(__xludf.DUMMYFUNCTION("GOOGLETRANSLATE($A10,A$1,B$1)"),"analysieren; zu sezieren")</f>
        <v>analysieren; zu sezieren</v>
      </c>
      <c r="K14" s="25" t="s">
        <v>192</v>
      </c>
      <c r="L14" t="s">
        <v>193</v>
      </c>
      <c r="M14" s="26" t="s">
        <v>713</v>
      </c>
      <c r="N14" s="25" t="s">
        <v>308</v>
      </c>
      <c r="O14" t="s">
        <v>309</v>
      </c>
      <c r="P14" s="26" t="s">
        <v>728</v>
      </c>
      <c r="Q14" s="25" t="s">
        <v>0</v>
      </c>
      <c r="S14" s="26" t="s">
        <v>0</v>
      </c>
      <c r="T14" s="25"/>
      <c r="V14" s="26"/>
      <c r="W14" s="25"/>
      <c r="Y14" s="26"/>
      <c r="Z14" s="25"/>
      <c r="AB14" s="26"/>
      <c r="BN14" s="24" t="s">
        <v>210</v>
      </c>
      <c r="BO14" s="21" t="str">
        <f ca="1">IFERROR(__xludf.DUMMYFUNCTION("GOOGLETRANSLATE($A10,A$1,B$1)"),"analysieren; zu sezieren")</f>
        <v>analysieren; zu sezieren</v>
      </c>
      <c r="BP14" s="21" t="str">
        <f ca="1">IFERROR(__xludf.DUMMYFUNCTION("GOOGLETRANSLATE($A10,A$1,C$1)"),"analyseren; om te ontleden")</f>
        <v>analyseren; om te ontleden</v>
      </c>
      <c r="BQ14" s="21" t="str">
        <f ca="1">IFERROR(__xludf.DUMMYFUNCTION("GOOGLETRANSLATE($A10,A$1,D$1)"),"анализировать; рассечь")</f>
        <v>анализировать; рассечь</v>
      </c>
      <c r="BR14" t="s">
        <v>310</v>
      </c>
      <c r="BS14" s="22" t="str">
        <f ca="1">IFERROR(__xludf.DUMMYFUNCTION("GOOGLETRANSLATE($A10,A$1,F$1)"),"analizować; dokonać analizy")</f>
        <v>analizować; dokonać analizy</v>
      </c>
      <c r="BT14" s="21" t="str">
        <f ca="1">IFERROR(__xludf.DUMMYFUNCTION("GOOGLETRANSLATE($A10,A$1,G$1)"),"analyzovat; pitvat")</f>
        <v>analyzovat; pitvat</v>
      </c>
      <c r="BU14" s="21" t="str">
        <f ca="1">IFERROR(__xludf.DUMMYFUNCTION("GOOGLETRANSLATE($A10,A$1,H$1)"),"Analyzovať; rozobrať")</f>
        <v>Analyzovať; rozobrať</v>
      </c>
      <c r="BV14" t="s">
        <v>311</v>
      </c>
      <c r="BW14" t="s">
        <v>312</v>
      </c>
      <c r="BX14" t="s">
        <v>214</v>
      </c>
      <c r="BY14" t="s">
        <v>215</v>
      </c>
      <c r="BZ14" t="s">
        <v>216</v>
      </c>
      <c r="CA14" t="s">
        <v>217</v>
      </c>
      <c r="CB14" s="21" t="str">
        <f ca="1">IFERROR(__xludf.DUMMYFUNCTION("GOOGLETRANSLATE($A10,A$1,O$1)"),"αναλύω; Για να αναλύσω")</f>
        <v>αναλύω; Για να αναλύσω</v>
      </c>
      <c r="CC14" s="21" t="str">
        <f ca="1">IFERROR(__xludf.DUMMYFUNCTION("GOOGLETRANSLATE($A10,A$1,P$1)"),"analyser; se disséquer")</f>
        <v>analyser; se disséquer</v>
      </c>
      <c r="CD14" s="21" t="str">
        <f ca="1">IFERROR(__xludf.DUMMYFUNCTION("GOOGLETRANSLATE($A10,A$1,Q$1)"),"analisar; para dissecar")</f>
        <v>analisar; para dissecar</v>
      </c>
      <c r="CE14" s="21" t="str">
        <f ca="1">IFERROR(__xludf.DUMMYFUNCTION("GOOGLETRANSLATE($A10,A$1,R$1)"),"analizzare; sezionare")</f>
        <v>analizzare; sezionare</v>
      </c>
      <c r="CF14" s="21" t="str">
        <f ca="1">IFERROR(__xludf.DUMMYFUNCTION("GOOGLETRANSLATE($A10,A$1,S$1)"),"a analiza; a diseca")</f>
        <v>a analiza; a diseca</v>
      </c>
      <c r="CG14" t="s">
        <v>218</v>
      </c>
      <c r="CH14" t="s">
        <v>219</v>
      </c>
      <c r="CI14" s="23" t="str">
        <f ca="1">IFERROR(__xludf.DUMMYFUNCTION("GOOGLETRANSLATE($A10,A$1,V$1)"),"วิเคราะห์; เพื่อผ่า")</f>
        <v>วิเคราะห์; เพื่อผ่า</v>
      </c>
      <c r="CJ14" s="21" t="str">
        <f ca="1">IFERROR(__xludf.DUMMYFUNCTION("GOOGLETRANSLATE($A10,A$1,W$1)"),"विश्लेषण करने के लिए; भंग करना")</f>
        <v>विश्लेषण करने के लिए; भंग करना</v>
      </c>
      <c r="CK14" s="21" t="str">
        <f ca="1">IFERROR(__xludf.DUMMYFUNCTION("GOOGLETRANSLATE($A10,A$1,X$1)"),"برای تجزیه و تحلیل؛ جدا کردن")</f>
        <v>برای تجزیه و تحلیل؛ جدا کردن</v>
      </c>
      <c r="CL14" s="21" t="str">
        <f ca="1">IFERROR(__xludf.DUMMYFUNCTION("GOOGLETRANSLATE($A10,A$1,Y$1)"),"لتحليل؛ لتشريح")</f>
        <v>لتحليل؛ لتشريح</v>
      </c>
      <c r="CM14" s="21" t="str">
        <f ca="1">IFERROR(__xludf.DUMMYFUNCTION("GOOGLETRANSLATE($A10,A$1,Z$1)"),"analiz etmek; Disect için")</f>
        <v>analiz etmek; Disect için</v>
      </c>
      <c r="CN14" t="s">
        <v>220</v>
      </c>
      <c r="CQ14" s="21" t="str">
        <f ca="1">IFERROR(__xludf.DUMMYFUNCTION("GOOGLETRANSLATE($A10,A$1,AD$1)"),"analizirati; secirati")</f>
        <v>analizirati; secirati</v>
      </c>
      <c r="CR14" s="21" t="str">
        <f ca="1">IFERROR(__xludf.DUMMYFUNCTION("GOOGLETRANSLATE($A10,A$1,AE$1)"),"분석하려면; 해부합니다")</f>
        <v>분석하려면; 해부합니다</v>
      </c>
      <c r="CS14" s="21" t="str">
        <f ca="1">IFERROR(__xludf.DUMMYFUNCTION("GOOGLETRANSLATE($A10,B$1,AF$1)"),"לנתח; לנתח")</f>
        <v>לנתח; לנתח</v>
      </c>
    </row>
    <row r="15" spans="1:97" ht="15.75">
      <c r="C15" t="s">
        <v>313</v>
      </c>
      <c r="D15" t="s">
        <v>314</v>
      </c>
      <c r="E15" t="s">
        <v>315</v>
      </c>
      <c r="F15" s="19" t="str">
        <f ca="1">IFERROR(__xludf.DUMMYFUNCTION("GOOGLETRANSLATE($A11,A$1,B$1)"),"zu sezieren; analysieren")</f>
        <v>zu sezieren; analysieren</v>
      </c>
      <c r="K15" s="25" t="s">
        <v>192</v>
      </c>
      <c r="L15" t="s">
        <v>193</v>
      </c>
      <c r="M15" s="26" t="s">
        <v>713</v>
      </c>
      <c r="N15" s="25" t="s">
        <v>224</v>
      </c>
      <c r="O15" t="s">
        <v>225</v>
      </c>
      <c r="P15" s="26" t="s">
        <v>714</v>
      </c>
      <c r="Q15" s="25" t="s">
        <v>0</v>
      </c>
      <c r="S15" s="26" t="s">
        <v>0</v>
      </c>
      <c r="T15" s="25"/>
      <c r="V15" s="26"/>
      <c r="W15" s="25"/>
      <c r="Y15" s="26"/>
      <c r="Z15" s="25"/>
      <c r="AB15" s="26"/>
      <c r="BN15" s="24" t="s">
        <v>316</v>
      </c>
      <c r="BO15" s="21" t="str">
        <f ca="1">IFERROR(__xludf.DUMMYFUNCTION("GOOGLETRANSLATE($A11,A$1,B$1)"),"zu sezieren; analysieren")</f>
        <v>zu sezieren; analysieren</v>
      </c>
      <c r="BP15" s="21" t="str">
        <f ca="1">IFERROR(__xludf.DUMMYFUNCTION("GOOGLETRANSLATE($A11,A$1,C$1)"),"ontleden; analyseren")</f>
        <v>ontleden; analyseren</v>
      </c>
      <c r="BQ15" s="21" t="str">
        <f ca="1">IFERROR(__xludf.DUMMYFUNCTION("GOOGLETRANSLATE($A11,A$1,D$1)"),"рассечь; анализировать")</f>
        <v>рассечь; анализировать</v>
      </c>
      <c r="BR15" t="s">
        <v>317</v>
      </c>
      <c r="BS15" s="22" t="str">
        <f ca="1">IFERROR(__xludf.DUMMYFUNCTION("GOOGLETRANSLATE($A11,A$1,F$1)"),"dokonać analizy; do analizy")</f>
        <v>dokonać analizy; do analizy</v>
      </c>
      <c r="BT15" s="21" t="str">
        <f ca="1">IFERROR(__xludf.DUMMYFUNCTION("GOOGLETRANSLATE($A11,A$1,G$1)"),"pitvat; analyzovat")</f>
        <v>pitvat; analyzovat</v>
      </c>
      <c r="BU15" s="21" t="str">
        <f ca="1">IFERROR(__xludf.DUMMYFUNCTION("GOOGLETRANSLATE($A11,A$1,H$1)"),"rozobrať; Analyzovať")</f>
        <v>rozobrať; Analyzovať</v>
      </c>
      <c r="BV15" t="s">
        <v>318</v>
      </c>
      <c r="BW15" t="s">
        <v>319</v>
      </c>
      <c r="BX15" t="s">
        <v>320</v>
      </c>
      <c r="BY15" t="s">
        <v>321</v>
      </c>
      <c r="BZ15" t="s">
        <v>322</v>
      </c>
      <c r="CA15" t="s">
        <v>323</v>
      </c>
      <c r="CB15" s="21" t="str">
        <f ca="1">IFERROR(__xludf.DUMMYFUNCTION("GOOGLETRANSLATE($A11,A$1,O$1)"),"να αναλύσει? αναλύω")</f>
        <v>να αναλύσει? αναλύω</v>
      </c>
      <c r="CC15" s="21" t="str">
        <f ca="1">IFERROR(__xludf.DUMMYFUNCTION("GOOGLETRANSLATE($A11,A$1,P$1)"),"disséquer; analyser")</f>
        <v>disséquer; analyser</v>
      </c>
      <c r="CD15" s="21" t="str">
        <f ca="1">IFERROR(__xludf.DUMMYFUNCTION("GOOGLETRANSLATE($A11,A$1,Q$1)"),"para dissecar; analisar")</f>
        <v>para dissecar; analisar</v>
      </c>
      <c r="CE15" s="21" t="str">
        <f ca="1">IFERROR(__xludf.DUMMYFUNCTION("GOOGLETRANSLATE($A11,A$1,R$1)"),"sezionare; analizzare")</f>
        <v>sezionare; analizzare</v>
      </c>
      <c r="CF15" s="21" t="str">
        <f ca="1">IFERROR(__xludf.DUMMYFUNCTION("GOOGLETRANSLATE($A11,A$1,S$1)"),"a diseca; a analiza")</f>
        <v>a diseca; a analiza</v>
      </c>
      <c r="CG15" t="s">
        <v>324</v>
      </c>
      <c r="CH15" t="s">
        <v>325</v>
      </c>
      <c r="CI15" s="23" t="str">
        <f ca="1">IFERROR(__xludf.DUMMYFUNCTION("GOOGLETRANSLATE($A11,A$1,V$1)"),"เพื่อผ่า; วิเคราะห์")</f>
        <v>เพื่อผ่า; วิเคราะห์</v>
      </c>
      <c r="CJ15" s="21" t="str">
        <f ca="1">IFERROR(__xludf.DUMMYFUNCTION("GOOGLETRANSLATE($A11,A$1,W$1)"),"विच्छेद करना; विश्लेषण करने के लिए")</f>
        <v>विच्छेद करना; विश्लेषण करने के लिए</v>
      </c>
      <c r="CK15" s="21" t="str">
        <f ca="1">IFERROR(__xludf.DUMMYFUNCTION("GOOGLETRANSLATE($A11,A$1,X$1)"),"برای جدا کردن برای تجزیه و تحلیل")</f>
        <v>برای جدا کردن برای تجزیه و تحلیل</v>
      </c>
      <c r="CL15" s="21" t="str">
        <f ca="1">IFERROR(__xludf.DUMMYFUNCTION("GOOGLETRANSLATE($A11,A$1,Y$1)"),"لتشريح؛ لتحليل")</f>
        <v>لتشريح؛ لتحليل</v>
      </c>
      <c r="CM15" s="21" t="str">
        <f ca="1">IFERROR(__xludf.DUMMYFUNCTION("GOOGLETRANSLATE($A11,A$1,Z$1)"),"Diseksiyon yapmak; analiz etmek")</f>
        <v>Diseksiyon yapmak; analiz etmek</v>
      </c>
      <c r="CN15" t="s">
        <v>326</v>
      </c>
      <c r="CQ15" s="21" t="str">
        <f ca="1">IFERROR(__xludf.DUMMYFUNCTION("GOOGLETRANSLATE($A11,A$1,AD$1)"),"secirati; analizirati")</f>
        <v>secirati; analizirati</v>
      </c>
      <c r="CR15" s="21" t="str">
        <f ca="1">IFERROR(__xludf.DUMMYFUNCTION("GOOGLETRANSLATE($A11,A$1,AE$1)"),"해부; 분석합니다")</f>
        <v>해부; 분석합니다</v>
      </c>
      <c r="CS15" s="21" t="str">
        <f ca="1">IFERROR(__xludf.DUMMYFUNCTION("GOOGLETRANSLATE($A11,B$1,AF$1)"),"לנתח; לנתח")</f>
        <v>לנתח; לנתח</v>
      </c>
    </row>
    <row r="16" spans="1:97" ht="15.75">
      <c r="C16" t="s">
        <v>327</v>
      </c>
      <c r="D16" t="s">
        <v>328</v>
      </c>
      <c r="E16" t="s">
        <v>329</v>
      </c>
      <c r="F16" s="19" t="str">
        <f ca="1">IFERROR(__xludf.DUMMYFUNCTION("GOOGLETRANSLATE($A12,A$1,B$1)"),"analysieren; erklären")</f>
        <v>analysieren; erklären</v>
      </c>
      <c r="K16" s="25" t="s">
        <v>192</v>
      </c>
      <c r="L16" t="s">
        <v>193</v>
      </c>
      <c r="M16" s="26" t="s">
        <v>713</v>
      </c>
      <c r="N16" s="25" t="s">
        <v>330</v>
      </c>
      <c r="O16" t="s">
        <v>331</v>
      </c>
      <c r="P16" s="26" t="s">
        <v>729</v>
      </c>
      <c r="Q16" s="25" t="s">
        <v>0</v>
      </c>
      <c r="S16" s="26" t="s">
        <v>0</v>
      </c>
      <c r="T16" s="25"/>
      <c r="V16" s="26"/>
      <c r="W16" s="25"/>
      <c r="Y16" s="26"/>
      <c r="Z16" s="25"/>
      <c r="AB16" s="26"/>
      <c r="BN16" s="24" t="s">
        <v>332</v>
      </c>
      <c r="BO16" s="21" t="str">
        <f ca="1">IFERROR(__xludf.DUMMYFUNCTION("GOOGLETRANSLATE($A12,A$1,B$1)"),"analysieren; erklären")</f>
        <v>analysieren; erklären</v>
      </c>
      <c r="BP16" s="21" t="str">
        <f ca="1">IFERROR(__xludf.DUMMYFUNCTION("GOOGLETRANSLATE($A12,A$1,C$1)"),"analyseren; uitleggen")</f>
        <v>analyseren; uitleggen</v>
      </c>
      <c r="BQ16" s="21" t="str">
        <f ca="1">IFERROR(__xludf.DUMMYFUNCTION("GOOGLETRANSLATE($A12,A$1,D$1)"),"анализировать; объяснить")</f>
        <v>анализировать; объяснить</v>
      </c>
      <c r="BR16" t="s">
        <v>333</v>
      </c>
      <c r="BS16" s="22" t="str">
        <f ca="1">IFERROR(__xludf.DUMMYFUNCTION("GOOGLETRANSLATE($A12,A$1,F$1)"),"analizować; wytłumaczyć")</f>
        <v>analizować; wytłumaczyć</v>
      </c>
      <c r="BT16" s="21" t="str">
        <f ca="1">IFERROR(__xludf.DUMMYFUNCTION("GOOGLETRANSLATE($A12,A$1,G$1)"),"analyzovat; vysvětlit")</f>
        <v>analyzovat; vysvětlit</v>
      </c>
      <c r="BU16" s="21" t="str">
        <f ca="1">IFERROR(__xludf.DUMMYFUNCTION("GOOGLETRANSLATE($A12,A$1,H$1)"),"Analyzovať; vysvetliť")</f>
        <v>Analyzovať; vysvetliť</v>
      </c>
      <c r="BV16" t="s">
        <v>334</v>
      </c>
      <c r="BW16" t="s">
        <v>335</v>
      </c>
      <c r="BX16" t="s">
        <v>336</v>
      </c>
      <c r="BY16" t="s">
        <v>337</v>
      </c>
      <c r="BZ16" t="s">
        <v>338</v>
      </c>
      <c r="CA16" t="s">
        <v>339</v>
      </c>
      <c r="CB16" s="21" t="str">
        <f ca="1">IFERROR(__xludf.DUMMYFUNCTION("GOOGLETRANSLATE($A12,A$1,O$1)"),"αναλύω; για να εξηγήσει")</f>
        <v>αναλύω; για να εξηγήσει</v>
      </c>
      <c r="CC16" s="21" t="str">
        <f ca="1">IFERROR(__xludf.DUMMYFUNCTION("GOOGLETRANSLATE($A12,A$1,P$1)"),"analyser; expliquer")</f>
        <v>analyser; expliquer</v>
      </c>
      <c r="CD16" s="21" t="str">
        <f ca="1">IFERROR(__xludf.DUMMYFUNCTION("GOOGLETRANSLATE($A12,A$1,Q$1)"),"analisar; explicar")</f>
        <v>analisar; explicar</v>
      </c>
      <c r="CE16" s="21" t="str">
        <f ca="1">IFERROR(__xludf.DUMMYFUNCTION("GOOGLETRANSLATE($A12,A$1,R$1)"),"analizzare; spiegare")</f>
        <v>analizzare; spiegare</v>
      </c>
      <c r="CF16" s="21" t="str">
        <f ca="1">IFERROR(__xludf.DUMMYFUNCTION("GOOGLETRANSLATE($A12,A$1,S$1)"),"a analiza; a explica")</f>
        <v>a analiza; a explica</v>
      </c>
      <c r="CG16" t="s">
        <v>340</v>
      </c>
      <c r="CH16" t="s">
        <v>341</v>
      </c>
      <c r="CI16" s="23" t="str">
        <f ca="1">IFERROR(__xludf.DUMMYFUNCTION("GOOGLETRANSLATE($A12,A$1,V$1)"),"วิเคราะห์; อธิบาย")</f>
        <v>วิเคราะห์; อธิบาย</v>
      </c>
      <c r="CJ16" s="21" t="str">
        <f ca="1">IFERROR(__xludf.DUMMYFUNCTION("GOOGLETRANSLATE($A12,A$1,W$1)"),"विश्लेषण करने के लिए; वर्णन करना")</f>
        <v>विश्लेषण करने के लिए; वर्णन करना</v>
      </c>
      <c r="CK16" s="21" t="str">
        <f ca="1">IFERROR(__xludf.DUMMYFUNCTION("GOOGLETRANSLATE($A12,A$1,X$1)"),"برای تجزیه و تحلیل؛ توضیح دادن")</f>
        <v>برای تجزیه و تحلیل؛ توضیح دادن</v>
      </c>
      <c r="CL16" s="21" t="str">
        <f ca="1">IFERROR(__xludf.DUMMYFUNCTION("GOOGLETRANSLATE($A12,A$1,Y$1)"),"لتحليل؛ لشرح")</f>
        <v>لتحليل؛ لشرح</v>
      </c>
      <c r="CM16" s="21" t="str">
        <f ca="1">IFERROR(__xludf.DUMMYFUNCTION("GOOGLETRANSLATE($A12,A$1,Z$1)"),"analiz etmek; açıklamak için")</f>
        <v>analiz etmek; açıklamak için</v>
      </c>
      <c r="CN16" t="s">
        <v>342</v>
      </c>
      <c r="CQ16" s="21" t="str">
        <f ca="1">IFERROR(__xludf.DUMMYFUNCTION("GOOGLETRANSLATE($A12,A$1,AD$1)"),"analizirati; objasniti")</f>
        <v>analizirati; objasniti</v>
      </c>
      <c r="CR16" s="21" t="str">
        <f ca="1">IFERROR(__xludf.DUMMYFUNCTION("GOOGLETRANSLATE($A12,A$1,AE$1)"),"분석하려면; 설명하기")</f>
        <v>분석하려면; 설명하기</v>
      </c>
      <c r="CS16" s="21" t="str">
        <f ca="1">IFERROR(__xludf.DUMMYFUNCTION("GOOGLETRANSLATE($A12,B$1,AF$1)"),"לנתח; להסביר")</f>
        <v>לנתח; להסביר</v>
      </c>
    </row>
    <row r="17" spans="3:97" ht="15.75">
      <c r="C17" t="s">
        <v>343</v>
      </c>
      <c r="D17" t="s">
        <v>344</v>
      </c>
      <c r="E17" t="s">
        <v>345</v>
      </c>
      <c r="F17" s="19" t="str">
        <f ca="1">IFERROR(__xludf.DUMMYFUNCTION("GOOGLETRANSLATE($A13,A$1,B$1)"),"ein Präparationsraum")</f>
        <v>ein Präparationsraum</v>
      </c>
      <c r="K17" s="25" t="s">
        <v>224</v>
      </c>
      <c r="L17" t="s">
        <v>225</v>
      </c>
      <c r="M17" s="26" t="s">
        <v>714</v>
      </c>
      <c r="N17" s="25" t="s">
        <v>192</v>
      </c>
      <c r="O17" t="s">
        <v>193</v>
      </c>
      <c r="P17" s="26" t="s">
        <v>713</v>
      </c>
      <c r="Q17" s="25" t="s">
        <v>346</v>
      </c>
      <c r="R17" t="s">
        <v>309</v>
      </c>
      <c r="S17" s="26" t="s">
        <v>737</v>
      </c>
      <c r="T17" s="25" t="s">
        <v>0</v>
      </c>
      <c r="V17" s="26"/>
      <c r="W17" s="25"/>
      <c r="Y17" s="26"/>
      <c r="Z17" s="25"/>
      <c r="AB17" s="26"/>
      <c r="BN17" s="24" t="s">
        <v>347</v>
      </c>
      <c r="BO17" s="21" t="str">
        <f ca="1">IFERROR(__xludf.DUMMYFUNCTION("GOOGLETRANSLATE($A13,A$1,B$1)"),"ein Präparationsraum")</f>
        <v>ein Präparationsraum</v>
      </c>
      <c r="BP17" s="21" t="str">
        <f ca="1">IFERROR(__xludf.DUMMYFUNCTION("GOOGLETRANSLATE($A13,A$1,C$1)"),"Een ontleden kamer")</f>
        <v>Een ontleden kamer</v>
      </c>
      <c r="BQ17" s="21" t="str">
        <f ca="1">IFERROR(__xludf.DUMMYFUNCTION("GOOGLETRANSLATE($A13,A$1,D$1)"),"рассекающая комната")</f>
        <v>рассекающая комната</v>
      </c>
      <c r="BR17" t="s">
        <v>348</v>
      </c>
      <c r="BS17" s="22" t="str">
        <f ca="1">IFERROR(__xludf.DUMMYFUNCTION("GOOGLETRANSLATE($A13,A$1,F$1)"),"pokój rozdzielający")</f>
        <v>pokój rozdzielający</v>
      </c>
      <c r="BT17" s="21" t="str">
        <f ca="1">IFERROR(__xludf.DUMMYFUNCTION("GOOGLETRANSLATE($A13,A$1,G$1)"),"Dissecting Room")</f>
        <v>Dissecting Room</v>
      </c>
      <c r="BU17" s="21" t="str">
        <f ca="1">IFERROR(__xludf.DUMMYFUNCTION("GOOGLETRANSLATE($A13,A$1,H$1)"),"pitvacia miestnosť")</f>
        <v>pitvacia miestnosť</v>
      </c>
      <c r="BV17" t="s">
        <v>349</v>
      </c>
      <c r="BW17" t="s">
        <v>350</v>
      </c>
      <c r="BX17" t="s">
        <v>351</v>
      </c>
      <c r="BY17" t="s">
        <v>352</v>
      </c>
      <c r="BZ17" t="s">
        <v>353</v>
      </c>
      <c r="CA17" t="s">
        <v>354</v>
      </c>
      <c r="CB17" s="21" t="str">
        <f ca="1">IFERROR(__xludf.DUMMYFUNCTION("GOOGLETRANSLATE($A13,A$1,O$1)"),"μια αίθουσα ανατομής")</f>
        <v>μια αίθουσα ανατομής</v>
      </c>
      <c r="CC17" s="21" t="str">
        <f ca="1">IFERROR(__xludf.DUMMYFUNCTION("GOOGLETRANSLATE($A13,A$1,P$1)"),"Une salle de dissection")</f>
        <v>Une salle de dissection</v>
      </c>
      <c r="CD17" s="21" t="str">
        <f ca="1">IFERROR(__xludf.DUMMYFUNCTION("GOOGLETRANSLATE($A13,A$1,Q$1)"),"uma sala de dissecação")</f>
        <v>uma sala de dissecação</v>
      </c>
      <c r="CE17" s="21" t="str">
        <f ca="1">IFERROR(__xludf.DUMMYFUNCTION("GOOGLETRANSLATE($A13,A$1,R$1)"),"una stanza di dissezione")</f>
        <v>una stanza di dissezione</v>
      </c>
      <c r="CF17" s="21" t="str">
        <f ca="1">IFERROR(__xludf.DUMMYFUNCTION("GOOGLETRANSLATE($A13,A$1,S$1)"),"o cameră de disecție")</f>
        <v>o cameră de disecție</v>
      </c>
      <c r="CG17" t="s">
        <v>355</v>
      </c>
      <c r="CH17" t="s">
        <v>356</v>
      </c>
      <c r="CI17" s="23" t="str">
        <f ca="1">IFERROR(__xludf.DUMMYFUNCTION("GOOGLETRANSLATE($A13,A$1,V$1)"),"ห้องผ่า")</f>
        <v>ห้องผ่า</v>
      </c>
      <c r="CJ17" s="21" t="str">
        <f ca="1">IFERROR(__xludf.DUMMYFUNCTION("GOOGLETRANSLATE($A13,A$1,W$1)"),"एक विदारक कमरा")</f>
        <v>एक विदारक कमरा</v>
      </c>
      <c r="CK17" s="21" t="str">
        <f ca="1">IFERROR(__xludf.DUMMYFUNCTION("GOOGLETRANSLATE($A13,A$1,X$1)"),"یک اتاق تفکیک")</f>
        <v>یک اتاق تفکیک</v>
      </c>
      <c r="CL17" s="21" t="str">
        <f ca="1">IFERROR(__xludf.DUMMYFUNCTION("GOOGLETRANSLATE($A13,A$1,Y$1)"),"غرفة تشريح")</f>
        <v>غرفة تشريح</v>
      </c>
      <c r="CM17" s="21" t="str">
        <f ca="1">IFERROR(__xludf.DUMMYFUNCTION("GOOGLETRANSLATE($A13,A$1,Z$1)"),"Diseksiyon Odası")</f>
        <v>Diseksiyon Odası</v>
      </c>
      <c r="CN17" t="s">
        <v>357</v>
      </c>
      <c r="CQ17" s="21" t="str">
        <f ca="1">IFERROR(__xludf.DUMMYFUNCTION("GOOGLETRANSLATE($A13,A$1,AD$1)"),"soba za seciranje")</f>
        <v>soba za seciranje</v>
      </c>
      <c r="CR17" s="21" t="str">
        <f ca="1">IFERROR(__xludf.DUMMYFUNCTION("GOOGLETRANSLATE($A13,A$1,AE$1)"),"해부실")</f>
        <v>해부실</v>
      </c>
      <c r="CS17" s="21" t="str">
        <f ca="1">IFERROR(__xludf.DUMMYFUNCTION("GOOGLETRANSLATE($A13,B$1,AF$1)"),"חדר ניתוק")</f>
        <v>חדר ניתוק</v>
      </c>
    </row>
    <row r="18" spans="3:97" ht="15.75">
      <c r="C18" t="s">
        <v>358</v>
      </c>
      <c r="D18" t="s">
        <v>359</v>
      </c>
      <c r="E18" t="s">
        <v>360</v>
      </c>
      <c r="F18" s="19" t="str">
        <f ca="1">IFERROR(__xludf.DUMMYFUNCTION("GOOGLETRANSLATE($A14,A$1,B$1)"),"Cutaway -Diagramm")</f>
        <v>Cutaway -Diagramm</v>
      </c>
      <c r="K18" s="25" t="s">
        <v>192</v>
      </c>
      <c r="L18" t="s">
        <v>193</v>
      </c>
      <c r="M18" s="26" t="s">
        <v>713</v>
      </c>
      <c r="N18" s="25" t="s">
        <v>224</v>
      </c>
      <c r="O18" t="s">
        <v>225</v>
      </c>
      <c r="P18" s="26" t="s">
        <v>714</v>
      </c>
      <c r="Q18" s="25" t="s">
        <v>361</v>
      </c>
      <c r="R18" t="s">
        <v>362</v>
      </c>
      <c r="S18" s="26" t="s">
        <v>738</v>
      </c>
      <c r="T18" s="25" t="s">
        <v>0</v>
      </c>
      <c r="V18" s="26"/>
      <c r="W18" s="25"/>
      <c r="Y18" s="26"/>
      <c r="Z18" s="25"/>
      <c r="AB18" s="26"/>
      <c r="BN18" s="24" t="s">
        <v>363</v>
      </c>
      <c r="BO18" s="21" t="str">
        <f ca="1">IFERROR(__xludf.DUMMYFUNCTION("GOOGLETRANSLATE($A14,A$1,B$1)"),"Cutaway -Diagramm")</f>
        <v>Cutaway -Diagramm</v>
      </c>
      <c r="BP18" s="21" t="str">
        <f ca="1">IFERROR(__xludf.DUMMYFUNCTION("GOOGLETRANSLATE($A14,A$1,C$1)"),"uitgesneden diagram")</f>
        <v>uitgesneden diagram</v>
      </c>
      <c r="BQ18" s="21" t="str">
        <f ca="1">IFERROR(__xludf.DUMMYFUNCTION("GOOGLETRANSLATE($A14,A$1,D$1)"),"схема выреза")</f>
        <v>схема выреза</v>
      </c>
      <c r="BR18" t="s">
        <v>364</v>
      </c>
      <c r="BS18" s="22" t="str">
        <f ca="1">IFERROR(__xludf.DUMMYFUNCTION("GOOGLETRANSLATE($A14,A$1,F$1)"),"Schemat odcięcia")</f>
        <v>Schemat odcięcia</v>
      </c>
      <c r="BT18" s="21" t="str">
        <f ca="1">IFERROR(__xludf.DUMMYFUNCTION("GOOGLETRANSLATE($A14,A$1,G$1)"),"Schéma výřezu")</f>
        <v>Schéma výřezu</v>
      </c>
      <c r="BU18" s="21" t="str">
        <f ca="1">IFERROR(__xludf.DUMMYFUNCTION("GOOGLETRANSLATE($A14,A$1,H$1)"),"výrez")</f>
        <v>výrez</v>
      </c>
      <c r="BV18" t="s">
        <v>365</v>
      </c>
      <c r="BW18" t="s">
        <v>366</v>
      </c>
      <c r="BX18" t="s">
        <v>367</v>
      </c>
      <c r="BY18" t="s">
        <v>368</v>
      </c>
      <c r="BZ18" t="s">
        <v>369</v>
      </c>
      <c r="CA18" t="s">
        <v>370</v>
      </c>
      <c r="CB18" s="21" t="str">
        <f ca="1">IFERROR(__xludf.DUMMYFUNCTION("GOOGLETRANSLATE($A14,A$1,O$1)"),"διάγραμμα κοπής")</f>
        <v>διάγραμμα κοπής</v>
      </c>
      <c r="CC18" s="21" t="str">
        <f ca="1">IFERROR(__xludf.DUMMYFUNCTION("GOOGLETRANSLATE($A14,A$1,P$1)"),"diagramme en coupe")</f>
        <v>diagramme en coupe</v>
      </c>
      <c r="CD18" s="21" t="str">
        <f ca="1">IFERROR(__xludf.DUMMYFUNCTION("GOOGLETRANSLATE($A14,A$1,Q$1)"),"Diagrama de corte")</f>
        <v>Diagrama de corte</v>
      </c>
      <c r="CE18" s="21" t="str">
        <f ca="1">IFERROR(__xludf.DUMMYFUNCTION("GOOGLETRANSLATE($A14,A$1,R$1)"),"Diagramma Cutaway")</f>
        <v>Diagramma Cutaway</v>
      </c>
      <c r="CF18" s="21" t="str">
        <f ca="1">IFERROR(__xludf.DUMMYFUNCTION("GOOGLETRANSLATE($A14,A$1,S$1)"),"Diagrama tăiată")</f>
        <v>Diagrama tăiată</v>
      </c>
      <c r="CG18" t="s">
        <v>371</v>
      </c>
      <c r="CH18" t="s">
        <v>372</v>
      </c>
      <c r="CI18" s="23" t="str">
        <f ca="1">IFERROR(__xludf.DUMMYFUNCTION("GOOGLETRANSLATE($A14,A$1,V$1)"),"แผนภาพตัด")</f>
        <v>แผนภาพตัด</v>
      </c>
      <c r="CJ18" s="21" t="str">
        <f ca="1">IFERROR(__xludf.DUMMYFUNCTION("GOOGLETRANSLATE($A14,A$1,W$1)"),"कटअवे आरेख")</f>
        <v>कटअवे आरेख</v>
      </c>
      <c r="CK18" s="21" t="str">
        <f ca="1">IFERROR(__xludf.DUMMYFUNCTION("GOOGLETRANSLATE($A14,A$1,X$1)"),"نمودار برش")</f>
        <v>نمودار برش</v>
      </c>
      <c r="CL18" s="21" t="str">
        <f ca="1">IFERROR(__xludf.DUMMYFUNCTION("GOOGLETRANSLATE($A14,A$1,Y$1)"),"مخطط كوتاواي")</f>
        <v>مخطط كوتاواي</v>
      </c>
      <c r="CM18" s="21" t="str">
        <f ca="1">IFERROR(__xludf.DUMMYFUNCTION("GOOGLETRANSLATE($A14,A$1,Z$1)"),"kesik şema")</f>
        <v>kesik şema</v>
      </c>
      <c r="CN18" t="s">
        <v>373</v>
      </c>
      <c r="CQ18" s="21" t="str">
        <f ca="1">IFERROR(__xludf.DUMMYFUNCTION("GOOGLETRANSLATE($A14,A$1,AD$1)"),"rezani dijagram")</f>
        <v>rezani dijagram</v>
      </c>
      <c r="CR18" s="21" t="str">
        <f ca="1">IFERROR(__xludf.DUMMYFUNCTION("GOOGLETRANSLATE($A14,A$1,AE$1)"),"컷 어웨이 다이어그램")</f>
        <v>컷 어웨이 다이어그램</v>
      </c>
      <c r="CS18" s="21" t="str">
        <f ca="1">IFERROR(__xludf.DUMMYFUNCTION("GOOGLETRANSLATE($A14,B$1,AF$1)"),"תרשים חתוך")</f>
        <v>תרשים חתוך</v>
      </c>
    </row>
    <row r="19" spans="3:97" ht="15.75">
      <c r="C19" t="s">
        <v>374</v>
      </c>
      <c r="D19" t="s">
        <v>375</v>
      </c>
      <c r="E19" t="s">
        <v>376</v>
      </c>
      <c r="F19" s="19" t="str">
        <f ca="1">IFERROR(__xludf.DUMMYFUNCTION("GOOGLETRANSLATE($A15,A$1,B$1)"),"Teilansicht; Cutaway Ansicht")</f>
        <v>Teilansicht; Cutaway Ansicht</v>
      </c>
      <c r="K19" s="25" t="s">
        <v>192</v>
      </c>
      <c r="L19" t="s">
        <v>193</v>
      </c>
      <c r="M19" s="26" t="s">
        <v>713</v>
      </c>
      <c r="N19" s="25" t="s">
        <v>308</v>
      </c>
      <c r="O19" t="s">
        <v>309</v>
      </c>
      <c r="P19" s="26" t="s">
        <v>728</v>
      </c>
      <c r="Q19" s="25" t="s">
        <v>361</v>
      </c>
      <c r="R19" t="s">
        <v>362</v>
      </c>
      <c r="S19" s="26" t="s">
        <v>738</v>
      </c>
      <c r="T19" s="25" t="s">
        <v>0</v>
      </c>
      <c r="V19" s="26"/>
      <c r="W19" s="25"/>
      <c r="Y19" s="26"/>
      <c r="Z19" s="25"/>
      <c r="AB19" s="26"/>
      <c r="BN19" s="24" t="s">
        <v>377</v>
      </c>
      <c r="BO19" s="21" t="str">
        <f ca="1">IFERROR(__xludf.DUMMYFUNCTION("GOOGLETRANSLATE($A15,A$1,B$1)"),"Teilansicht; Cutaway Ansicht")</f>
        <v>Teilansicht; Cutaway Ansicht</v>
      </c>
      <c r="BP19" s="21" t="str">
        <f ca="1">IFERROR(__xludf.DUMMYFUNCTION("GOOGLETRANSLATE($A15,A$1,C$1)"),"doorsnede; uitzicht")</f>
        <v>doorsnede; uitzicht</v>
      </c>
      <c r="BQ19" s="21" t="str">
        <f ca="1">IFERROR(__xludf.DUMMYFUNCTION("GOOGLETRANSLATE($A15,A$1,D$1)"),"Просмотр раздела; Cutaway View")</f>
        <v>Просмотр раздела; Cutaway View</v>
      </c>
      <c r="BR19" t="s">
        <v>378</v>
      </c>
      <c r="BS19" s="22" t="str">
        <f ca="1">IFERROR(__xludf.DUMMYFUNCTION("GOOGLETRANSLATE($A15,A$1,F$1)"),"przekrój; Widok Cutaway")</f>
        <v>przekrój; Widok Cutaway</v>
      </c>
      <c r="BT19" s="21" t="str">
        <f ca="1">IFERROR(__xludf.DUMMYFUNCTION("GOOGLETRANSLATE($A15,A$1,G$1)"),"Zobrazit sekci; výřez")</f>
        <v>Zobrazit sekci; výřez</v>
      </c>
      <c r="BU19" s="21" t="str">
        <f ca="1">IFERROR(__xludf.DUMMYFUNCTION("GOOGLETRANSLATE($A15,A$1,H$1)"),"Zobrazenie sekcie; výhľad")</f>
        <v>Zobrazenie sekcie; výhľad</v>
      </c>
      <c r="BV19" t="s">
        <v>379</v>
      </c>
      <c r="BW19" t="s">
        <v>380</v>
      </c>
      <c r="BX19" t="s">
        <v>381</v>
      </c>
      <c r="BY19" t="s">
        <v>382</v>
      </c>
      <c r="BZ19" t="s">
        <v>383</v>
      </c>
      <c r="CA19" t="s">
        <v>384</v>
      </c>
      <c r="CB19" s="21" t="str">
        <f ca="1">IFERROR(__xludf.DUMMYFUNCTION("GOOGLETRANSLATE($A15,A$1,O$1)"),"Προβολή τμήματος. προβολή κοπής")</f>
        <v>Προβολή τμήματος. προβολή κοπής</v>
      </c>
      <c r="CC19" s="21" t="str">
        <f ca="1">IFERROR(__xludf.DUMMYFUNCTION("GOOGLETRANSLATE($A15,A$1,P$1)"),"vue en coupe; vue en coupe")</f>
        <v>vue en coupe; vue en coupe</v>
      </c>
      <c r="CD19" s="21" t="str">
        <f ca="1">IFERROR(__xludf.DUMMYFUNCTION("GOOGLETRANSLATE($A15,A$1,Q$1)"),"vista de seção; Vista corta")</f>
        <v>vista de seção; Vista corta</v>
      </c>
      <c r="CE19" s="21" t="str">
        <f ca="1">IFERROR(__xludf.DUMMYFUNCTION("GOOGLETRANSLATE($A15,A$1,R$1)"),"Visualizzazione della sezione; Vista a valle")</f>
        <v>Visualizzazione della sezione; Vista a valle</v>
      </c>
      <c r="CF19" s="21" t="str">
        <f ca="1">IFERROR(__xludf.DUMMYFUNCTION("GOOGLETRANSLATE($A15,A$1,S$1)"),"Vizualizare a secțiunii; Vedere Cutaway")</f>
        <v>Vizualizare a secțiunii; Vedere Cutaway</v>
      </c>
      <c r="CG19" t="s">
        <v>385</v>
      </c>
      <c r="CH19" t="s">
        <v>386</v>
      </c>
      <c r="CI19" s="23" t="str">
        <f ca="1">IFERROR(__xludf.DUMMYFUNCTION("GOOGLETRANSLATE($A15,A$1,V$1)"),"มุมมองส่วน; มุมมองแบบตัด")</f>
        <v>มุมมองส่วน; มุมมองแบบตัด</v>
      </c>
      <c r="CJ19" s="21" t="str">
        <f ca="1">IFERROR(__xludf.DUMMYFUNCTION("GOOGLETRANSLATE($A15,A$1,W$1)"),"खंड देखें; कटअवे व्यू")</f>
        <v>खंड देखें; कटअवे व्यू</v>
      </c>
      <c r="CK19" s="21" t="str">
        <f ca="1">IFERROR(__xludf.DUMMYFUNCTION("GOOGLETRANSLATE($A15,A$1,X$1)"),"نمای بخش ؛ نمای برش")</f>
        <v>نمای بخش ؛ نمای برش</v>
      </c>
      <c r="CL19" s="21" t="str">
        <f ca="1">IFERROR(__xludf.DUMMYFUNCTION("GOOGLETRANSLATE($A15,A$1,Y$1)"),"عرض القسم ؛ الصورة مشهد")</f>
        <v>عرض القسم ؛ الصورة مشهد</v>
      </c>
      <c r="CM19" s="21" t="str">
        <f ca="1">IFERROR(__xludf.DUMMYFUNCTION("GOOGLETRANSLATE($A15,A$1,Z$1)"),"Bölüm görünümü; Kesme Görünümü")</f>
        <v>Bölüm görünümü; Kesme Görünümü</v>
      </c>
      <c r="CN19" t="s">
        <v>387</v>
      </c>
      <c r="CQ19" s="21" t="str">
        <f ca="1">IFERROR(__xludf.DUMMYFUNCTION("GOOGLETRANSLATE($A15,A$1,AD$1)"),"Pregled odjeljka; rezani prikaz")</f>
        <v>Pregled odjeljka; rezani prikaz</v>
      </c>
      <c r="CR19" s="21" t="str">
        <f ca="1">IFERROR(__xludf.DUMMYFUNCTION("GOOGLETRANSLATE($A15,A$1,AE$1)"),"섹션보기; 컷 어웨이 전망")</f>
        <v>섹션보기; 컷 어웨이 전망</v>
      </c>
      <c r="CS19" s="21" t="str">
        <f ca="1">IFERROR(__xludf.DUMMYFUNCTION("GOOGLETRANSLATE($A15,B$1,AF$1)"),"תצוגת קטע; תצוגה חתוכה")</f>
        <v>תצוגת קטע; תצוגה חתוכה</v>
      </c>
    </row>
    <row r="20" spans="3:97" ht="15.75">
      <c r="C20" t="s">
        <v>388</v>
      </c>
      <c r="D20" t="s">
        <v>389</v>
      </c>
      <c r="E20" t="s">
        <v>390</v>
      </c>
      <c r="F20" s="19" t="str">
        <f ca="1">IFERROR(__xludf.DUMMYFUNCTION("GOOGLETRANSLATE($A16,A$1,B$1)"),"horizontaler Abschnitt")</f>
        <v>horizontaler Abschnitt</v>
      </c>
      <c r="K20" s="25" t="s">
        <v>391</v>
      </c>
      <c r="L20" t="s">
        <v>392</v>
      </c>
      <c r="M20" s="26" t="s">
        <v>715</v>
      </c>
      <c r="N20" s="25" t="s">
        <v>192</v>
      </c>
      <c r="O20" t="s">
        <v>193</v>
      </c>
      <c r="P20" s="26" t="s">
        <v>713</v>
      </c>
      <c r="Q20" s="25" t="s">
        <v>258</v>
      </c>
      <c r="R20" t="s">
        <v>259</v>
      </c>
      <c r="S20" s="26" t="s">
        <v>725</v>
      </c>
      <c r="T20" s="25" t="s">
        <v>0</v>
      </c>
      <c r="V20" s="26"/>
      <c r="W20" s="25"/>
      <c r="Y20" s="26"/>
      <c r="Z20" s="25"/>
      <c r="AB20" s="26"/>
      <c r="BN20" s="24" t="s">
        <v>393</v>
      </c>
      <c r="BO20" s="21" t="str">
        <f ca="1">IFERROR(__xludf.DUMMYFUNCTION("GOOGLETRANSLATE($A16,A$1,B$1)"),"horizontaler Abschnitt")</f>
        <v>horizontaler Abschnitt</v>
      </c>
      <c r="BP20" s="21" t="str">
        <f ca="1">IFERROR(__xludf.DUMMYFUNCTION("GOOGLETRANSLATE($A16,A$1,C$1)"),"horizontaal gedeelte")</f>
        <v>horizontaal gedeelte</v>
      </c>
      <c r="BQ20" s="21" t="str">
        <f ca="1">IFERROR(__xludf.DUMMYFUNCTION("GOOGLETRANSLATE($A16,A$1,D$1)"),"горизонтальная секция")</f>
        <v>горизонтальная секция</v>
      </c>
      <c r="BR20" t="s">
        <v>394</v>
      </c>
      <c r="BS20" s="22" t="str">
        <f ca="1">IFERROR(__xludf.DUMMYFUNCTION("GOOGLETRANSLATE($A16,A$1,F$1)"),"Sekcja pozioma")</f>
        <v>Sekcja pozioma</v>
      </c>
      <c r="BT20" s="21" t="str">
        <f ca="1">IFERROR(__xludf.DUMMYFUNCTION("GOOGLETRANSLATE($A16,A$1,G$1)"),"Horizontální část")</f>
        <v>Horizontální část</v>
      </c>
      <c r="BU20" s="21" t="str">
        <f ca="1">IFERROR(__xludf.DUMMYFUNCTION("GOOGLETRANSLATE($A16,A$1,H$1)"),"horizontálna časť")</f>
        <v>horizontálna časť</v>
      </c>
      <c r="BV20" t="s">
        <v>395</v>
      </c>
      <c r="BW20" t="s">
        <v>396</v>
      </c>
      <c r="BX20" t="s">
        <v>397</v>
      </c>
      <c r="BY20" t="s">
        <v>398</v>
      </c>
      <c r="BZ20" t="s">
        <v>399</v>
      </c>
      <c r="CA20" t="s">
        <v>400</v>
      </c>
      <c r="CB20" s="21" t="str">
        <f ca="1">IFERROR(__xludf.DUMMYFUNCTION("GOOGLETRANSLATE($A16,A$1,O$1)"),"οριζόντια ενότητα")</f>
        <v>οριζόντια ενότητα</v>
      </c>
      <c r="CC20" s="21" t="str">
        <f ca="1">IFERROR(__xludf.DUMMYFUNCTION("GOOGLETRANSLATE($A16,A$1,P$1)"),"section horizontale")</f>
        <v>section horizontale</v>
      </c>
      <c r="CD20" s="21" t="str">
        <f ca="1">IFERROR(__xludf.DUMMYFUNCTION("GOOGLETRANSLATE($A16,A$1,Q$1)"),"Seção horizontal")</f>
        <v>Seção horizontal</v>
      </c>
      <c r="CE20" s="21" t="str">
        <f ca="1">IFERROR(__xludf.DUMMYFUNCTION("GOOGLETRANSLATE($A16,A$1,R$1)"),"sezione orizzontale")</f>
        <v>sezione orizzontale</v>
      </c>
      <c r="CF20" s="21" t="str">
        <f ca="1">IFERROR(__xludf.DUMMYFUNCTION("GOOGLETRANSLATE($A16,A$1,S$1)"),"Secțiune orizontală")</f>
        <v>Secțiune orizontală</v>
      </c>
      <c r="CG20" t="s">
        <v>401</v>
      </c>
      <c r="CH20" t="s">
        <v>402</v>
      </c>
      <c r="CI20" s="23" t="str">
        <f ca="1">IFERROR(__xludf.DUMMYFUNCTION("GOOGLETRANSLATE($A16,A$1,V$1)"),"ส่วนแนวนอน")</f>
        <v>ส่วนแนวนอน</v>
      </c>
      <c r="CJ20" s="21" t="str">
        <f ca="1">IFERROR(__xludf.DUMMYFUNCTION("GOOGLETRANSLATE($A16,A$1,W$1)"),"क्षैतिज अनुभाग")</f>
        <v>क्षैतिज अनुभाग</v>
      </c>
      <c r="CK20" s="21" t="str">
        <f ca="1">IFERROR(__xludf.DUMMYFUNCTION("GOOGLETRANSLATE($A16,A$1,X$1)"),"بخش افقی")</f>
        <v>بخش افقی</v>
      </c>
      <c r="CL20" s="21" t="str">
        <f ca="1">IFERROR(__xludf.DUMMYFUNCTION("GOOGLETRANSLATE($A16,A$1,Y$1)"),"القسم الأفقي")</f>
        <v>القسم الأفقي</v>
      </c>
      <c r="CM20" s="21" t="str">
        <f ca="1">IFERROR(__xludf.DUMMYFUNCTION("GOOGLETRANSLATE($A16,A$1,Z$1)"),"yatay bölüm")</f>
        <v>yatay bölüm</v>
      </c>
      <c r="CN20" t="s">
        <v>403</v>
      </c>
      <c r="CQ20" s="21" t="str">
        <f ca="1">IFERROR(__xludf.DUMMYFUNCTION("GOOGLETRANSLATE($A16,A$1,AD$1)"),"vodoravni dio")</f>
        <v>vodoravni dio</v>
      </c>
      <c r="CR20" s="21" t="str">
        <f ca="1">IFERROR(__xludf.DUMMYFUNCTION("GOOGLETRANSLATE($A16,A$1,AE$1)"),"수평 섹션")</f>
        <v>수평 섹션</v>
      </c>
      <c r="CS20" s="21" t="str">
        <f ca="1">IFERROR(__xludf.DUMMYFUNCTION("GOOGLETRANSLATE($A16,B$1,AF$1)"),"קטע אופקי")</f>
        <v>קטע אופקי</v>
      </c>
    </row>
    <row r="21" spans="3:97" ht="15.75">
      <c r="C21" t="s">
        <v>404</v>
      </c>
      <c r="D21" t="s">
        <v>405</v>
      </c>
      <c r="E21" t="s">
        <v>406</v>
      </c>
      <c r="F21" s="19" t="str">
        <f ca="1">IFERROR(__xludf.DUMMYFUNCTION("GOOGLETRANSLATE($A17,A$1,B$1)"),"Vertikalschnitt; Längsschnitt")</f>
        <v>Vertikalschnitt; Längsschnitt</v>
      </c>
      <c r="K21" s="25" t="s">
        <v>407</v>
      </c>
      <c r="L21" t="s">
        <v>408</v>
      </c>
      <c r="M21" s="26" t="s">
        <v>716</v>
      </c>
      <c r="N21" s="25" t="s">
        <v>192</v>
      </c>
      <c r="O21" t="s">
        <v>193</v>
      </c>
      <c r="P21" s="26" t="s">
        <v>713</v>
      </c>
      <c r="Q21" s="25" t="s">
        <v>258</v>
      </c>
      <c r="R21" t="s">
        <v>259</v>
      </c>
      <c r="S21" s="26" t="s">
        <v>725</v>
      </c>
      <c r="T21" s="25" t="s">
        <v>0</v>
      </c>
      <c r="V21" s="26"/>
      <c r="W21" s="25"/>
      <c r="Y21" s="26"/>
      <c r="Z21" s="25"/>
      <c r="AB21" s="26"/>
      <c r="BN21" s="24" t="s">
        <v>409</v>
      </c>
      <c r="BO21" s="21" t="str">
        <f ca="1">IFERROR(__xludf.DUMMYFUNCTION("GOOGLETRANSLATE($A17,A$1,B$1)"),"Vertikalschnitt; Längsschnitt")</f>
        <v>Vertikalschnitt; Längsschnitt</v>
      </c>
      <c r="BP21" s="21" t="str">
        <f ca="1">IFERROR(__xludf.DUMMYFUNCTION("GOOGLETRANSLATE($A17,A$1,C$1)"),"verticale sectie; longitudinale sectie")</f>
        <v>verticale sectie; longitudinale sectie</v>
      </c>
      <c r="BQ21" s="21" t="str">
        <f ca="1">IFERROR(__xludf.DUMMYFUNCTION("GOOGLETRANSLATE($A17,A$1,D$1)"),"Вертикальный раздел; продольное сечение")</f>
        <v>Вертикальный раздел; продольное сечение</v>
      </c>
      <c r="BR21" t="s">
        <v>410</v>
      </c>
      <c r="BS21" s="22" t="str">
        <f ca="1">IFERROR(__xludf.DUMMYFUNCTION("GOOGLETRANSLATE($A17,A$1,F$1)"),"sekcja pionowa; przekrój podłużny")</f>
        <v>sekcja pionowa; przekrój podłużny</v>
      </c>
      <c r="BT21" s="21" t="str">
        <f ca="1">IFERROR(__xludf.DUMMYFUNCTION("GOOGLETRANSLATE($A17,A$1,G$1)"),"svislá část; Dlouhodobá sekce")</f>
        <v>svislá část; Dlouhodobá sekce</v>
      </c>
      <c r="BU21" s="21" t="str">
        <f ca="1">IFERROR(__xludf.DUMMYFUNCTION("GOOGLETRANSLATE($A17,A$1,H$1)"),"vertikálna časť; pozdĺžna časť")</f>
        <v>vertikálna časť; pozdĺžna časť</v>
      </c>
      <c r="BV21" t="s">
        <v>411</v>
      </c>
      <c r="BW21" t="s">
        <v>412</v>
      </c>
      <c r="BX21" t="s">
        <v>413</v>
      </c>
      <c r="BY21" t="s">
        <v>414</v>
      </c>
      <c r="BZ21" t="s">
        <v>415</v>
      </c>
      <c r="CA21" t="s">
        <v>416</v>
      </c>
      <c r="CB21" s="21" t="str">
        <f ca="1">IFERROR(__xludf.DUMMYFUNCTION("GOOGLETRANSLATE($A17,A$1,O$1)"),"κατακόρυφη ενότητα. διαμήκους τομής")</f>
        <v>κατακόρυφη ενότητα. διαμήκους τομής</v>
      </c>
      <c r="CC21" s="21" t="str">
        <f ca="1">IFERROR(__xludf.DUMMYFUNCTION("GOOGLETRANSLATE($A17,A$1,P$1)"),"section verticale; section longitudinale")</f>
        <v>section verticale; section longitudinale</v>
      </c>
      <c r="CD21" s="21" t="str">
        <f ca="1">IFERROR(__xludf.DUMMYFUNCTION("GOOGLETRANSLATE($A17,A$1,Q$1)"),"seção vertical; seção longitudinal")</f>
        <v>seção vertical; seção longitudinal</v>
      </c>
      <c r="CE21" s="21" t="str">
        <f ca="1">IFERROR(__xludf.DUMMYFUNCTION("GOOGLETRANSLATE($A17,A$1,R$1)"),"sezione verticale; sezione longitudinale")</f>
        <v>sezione verticale; sezione longitudinale</v>
      </c>
      <c r="CF21" s="21" t="str">
        <f ca="1">IFERROR(__xludf.DUMMYFUNCTION("GOOGLETRANSLATE($A17,A$1,S$1)"),"secțiune verticală; sectiune longitudinala")</f>
        <v>secțiune verticală; sectiune longitudinala</v>
      </c>
      <c r="CG21" t="s">
        <v>417</v>
      </c>
      <c r="CH21" t="s">
        <v>418</v>
      </c>
      <c r="CI21" s="23" t="str">
        <f ca="1">IFERROR(__xludf.DUMMYFUNCTION("GOOGLETRANSLATE($A17,A$1,V$1)"),"ส่วนแนวตั้ง; ส่วนยาว")</f>
        <v>ส่วนแนวตั้ง; ส่วนยาว</v>
      </c>
      <c r="CJ21" s="21" t="str">
        <f ca="1">IFERROR(__xludf.DUMMYFUNCTION("GOOGLETRANSLATE($A17,A$1,W$1)"),"ऊर्ध्वाधर खंड; लंबवत काट")</f>
        <v>ऊर्ध्वाधर खंड; लंबवत काट</v>
      </c>
      <c r="CK21" s="21" t="str">
        <f ca="1">IFERROR(__xludf.DUMMYFUNCTION("GOOGLETRANSLATE($A17,A$1,X$1)"),"بخش عمودی ؛ بخش طولی")</f>
        <v>بخش عمودی ؛ بخش طولی</v>
      </c>
      <c r="CL21" s="21" t="str">
        <f ca="1">IFERROR(__xludf.DUMMYFUNCTION("GOOGLETRANSLATE($A17,A$1,Y$1)"),"القسم الرأسي؛ مقطع طولي")</f>
        <v>القسم الرأسي؛ مقطع طولي</v>
      </c>
      <c r="CM21" s="21" t="str">
        <f ca="1">IFERROR(__xludf.DUMMYFUNCTION("GOOGLETRANSLATE($A17,A$1,Z$1)"),"dikey kesit; boylamsal bölüm")</f>
        <v>dikey kesit; boylamsal bölüm</v>
      </c>
      <c r="CN21" t="s">
        <v>419</v>
      </c>
      <c r="CQ21" s="21" t="str">
        <f ca="1">IFERROR(__xludf.DUMMYFUNCTION("GOOGLETRANSLATE($A17,A$1,AD$1)"),"vertikalni presjek; uzdužni dio")</f>
        <v>vertikalni presjek; uzdužni dio</v>
      </c>
      <c r="CR21" s="21" t="str">
        <f ca="1">IFERROR(__xludf.DUMMYFUNCTION("GOOGLETRANSLATE($A17,A$1,AE$1)"),"수직 섹션; 종 방향 섹션")</f>
        <v>수직 섹션; 종 방향 섹션</v>
      </c>
      <c r="CS21" s="21" t="str">
        <f ca="1">IFERROR(__xludf.DUMMYFUNCTION("GOOGLETRANSLATE($A17,B$1,AF$1)"),"חתך אנכי; קטע אורכי")</f>
        <v>חתך אנכי; קטע אורכי</v>
      </c>
    </row>
    <row r="22" spans="3:97" ht="15.75">
      <c r="C22" t="s">
        <v>420</v>
      </c>
      <c r="D22" t="s">
        <v>421</v>
      </c>
      <c r="E22" t="s">
        <v>422</v>
      </c>
      <c r="F22" s="19" t="str">
        <f ca="1">IFERROR(__xludf.DUMMYFUNCTION("GOOGLETRANSLATE($A18,A$1,B$1)"),"Anatomie")</f>
        <v>Anatomie</v>
      </c>
      <c r="K22" s="25" t="s">
        <v>224</v>
      </c>
      <c r="L22" t="s">
        <v>225</v>
      </c>
      <c r="M22" s="26" t="s">
        <v>714</v>
      </c>
      <c r="N22" s="25" t="s">
        <v>192</v>
      </c>
      <c r="O22" t="s">
        <v>193</v>
      </c>
      <c r="P22" s="26" t="s">
        <v>713</v>
      </c>
      <c r="Q22" s="25" t="s">
        <v>423</v>
      </c>
      <c r="R22" t="s">
        <v>424</v>
      </c>
      <c r="S22" s="26" t="s">
        <v>739</v>
      </c>
      <c r="T22" s="25" t="s">
        <v>0</v>
      </c>
      <c r="V22" s="26"/>
      <c r="W22" s="25"/>
      <c r="Y22" s="26"/>
      <c r="Z22" s="25"/>
      <c r="AB22" s="26"/>
      <c r="BN22" s="24" t="s">
        <v>425</v>
      </c>
      <c r="BO22" s="21" t="str">
        <f ca="1">IFERROR(__xludf.DUMMYFUNCTION("GOOGLETRANSLATE($A18,A$1,B$1)"),"Anatomie")</f>
        <v>Anatomie</v>
      </c>
      <c r="BP22" s="21" t="str">
        <f ca="1">IFERROR(__xludf.DUMMYFUNCTION("GOOGLETRANSLATE($A18,A$1,C$1)"),"anatomie")</f>
        <v>anatomie</v>
      </c>
      <c r="BQ22" s="21" t="str">
        <f ca="1">IFERROR(__xludf.DUMMYFUNCTION("GOOGLETRANSLATE($A18,A$1,D$1)"),"анатомия")</f>
        <v>анатомия</v>
      </c>
      <c r="BR22" t="s">
        <v>426</v>
      </c>
      <c r="BS22" s="22" t="str">
        <f ca="1">IFERROR(__xludf.DUMMYFUNCTION("GOOGLETRANSLATE($A18,A$1,F$1)"),"anatomia")</f>
        <v>anatomia</v>
      </c>
      <c r="BT22" s="21" t="str">
        <f ca="1">IFERROR(__xludf.DUMMYFUNCTION("GOOGLETRANSLATE($A18,A$1,G$1)"),"anatomie")</f>
        <v>anatomie</v>
      </c>
      <c r="BU22" s="21" t="str">
        <f ca="1">IFERROR(__xludf.DUMMYFUNCTION("GOOGLETRANSLATE($A18,A$1,H$1)"),"anatómia")</f>
        <v>anatómia</v>
      </c>
      <c r="BV22" t="s">
        <v>427</v>
      </c>
      <c r="BW22" t="s">
        <v>428</v>
      </c>
      <c r="BX22" t="s">
        <v>427</v>
      </c>
      <c r="BY22" t="s">
        <v>427</v>
      </c>
      <c r="BZ22" t="s">
        <v>429</v>
      </c>
      <c r="CA22" t="s">
        <v>430</v>
      </c>
      <c r="CB22" s="21" t="str">
        <f ca="1">IFERROR(__xludf.DUMMYFUNCTION("GOOGLETRANSLATE($A18,A$1,O$1)"),"ανατομία")</f>
        <v>ανατομία</v>
      </c>
      <c r="CC22" s="21" t="str">
        <f ca="1">IFERROR(__xludf.DUMMYFUNCTION("GOOGLETRANSLATE($A18,A$1,P$1)"),"anatomie")</f>
        <v>anatomie</v>
      </c>
      <c r="CD22" s="21" t="str">
        <f ca="1">IFERROR(__xludf.DUMMYFUNCTION("GOOGLETRANSLATE($A18,A$1,Q$1)"),"anatomia")</f>
        <v>anatomia</v>
      </c>
      <c r="CE22" s="21" t="str">
        <f ca="1">IFERROR(__xludf.DUMMYFUNCTION("GOOGLETRANSLATE($A18,A$1,R$1)"),"anatomia")</f>
        <v>anatomia</v>
      </c>
      <c r="CF22" s="21" t="str">
        <f ca="1">IFERROR(__xludf.DUMMYFUNCTION("GOOGLETRANSLATE($A18,A$1,S$1)"),"anatomie")</f>
        <v>anatomie</v>
      </c>
      <c r="CG22" t="s">
        <v>431</v>
      </c>
      <c r="CH22" t="s">
        <v>431</v>
      </c>
      <c r="CI22" s="23" t="str">
        <f ca="1">IFERROR(__xludf.DUMMYFUNCTION("GOOGLETRANSLATE($A18,A$1,V$1)"),"กายวิภาคศาสตร์")</f>
        <v>กายวิภาคศาสตร์</v>
      </c>
      <c r="CJ22" s="21" t="str">
        <f ca="1">IFERROR(__xludf.DUMMYFUNCTION("GOOGLETRANSLATE($A18,A$1,W$1)"),"शरीर रचना")</f>
        <v>शरीर रचना</v>
      </c>
      <c r="CK22" s="21" t="str">
        <f ca="1">IFERROR(__xludf.DUMMYFUNCTION("GOOGLETRANSLATE($A18,A$1,X$1)"),"تشبیه")</f>
        <v>تشبیه</v>
      </c>
      <c r="CL22" s="21" t="str">
        <f ca="1">IFERROR(__xludf.DUMMYFUNCTION("GOOGLETRANSLATE($A18,A$1,Y$1)"),"تشريح")</f>
        <v>تشريح</v>
      </c>
      <c r="CM22" s="21" t="str">
        <f ca="1">IFERROR(__xludf.DUMMYFUNCTION("GOOGLETRANSLATE($A18,A$1,Z$1)"),"anatomi")</f>
        <v>anatomi</v>
      </c>
      <c r="CN22" t="s">
        <v>431</v>
      </c>
      <c r="CQ22" s="21" t="str">
        <f ca="1">IFERROR(__xludf.DUMMYFUNCTION("GOOGLETRANSLATE($A18,A$1,AD$1)"),"anatomija")</f>
        <v>anatomija</v>
      </c>
      <c r="CR22" s="21" t="str">
        <f ca="1">IFERROR(__xludf.DUMMYFUNCTION("GOOGLETRANSLATE($A18,A$1,AE$1)"),"해부")</f>
        <v>해부</v>
      </c>
      <c r="CS22" s="21" t="str">
        <f ca="1">IFERROR(__xludf.DUMMYFUNCTION("GOOGLETRANSLATE($A18,B$1,AF$1)"),"אֲנָטוֹמִיָה")</f>
        <v>אֲנָטוֹמִיָה</v>
      </c>
    </row>
    <row r="23" spans="3:97" ht="15.75">
      <c r="C23" t="s">
        <v>432</v>
      </c>
      <c r="D23" t="s">
        <v>433</v>
      </c>
      <c r="E23" t="s">
        <v>434</v>
      </c>
      <c r="F23" s="19" t="str">
        <f ca="1">IFERROR(__xludf.DUMMYFUNCTION("GOOGLETRANSLATE($A19,A$1,B$1)"),"Autopsie")</f>
        <v>Autopsie</v>
      </c>
      <c r="K23" s="25" t="s">
        <v>435</v>
      </c>
      <c r="L23" t="s">
        <v>436</v>
      </c>
      <c r="M23" s="26" t="s">
        <v>717</v>
      </c>
      <c r="N23" s="25" t="s">
        <v>437</v>
      </c>
      <c r="O23" t="s">
        <v>438</v>
      </c>
      <c r="P23" s="26" t="s">
        <v>730</v>
      </c>
      <c r="Q23" s="25" t="s">
        <v>192</v>
      </c>
      <c r="R23" t="s">
        <v>193</v>
      </c>
      <c r="S23" s="26" t="s">
        <v>713</v>
      </c>
      <c r="T23" s="25" t="s">
        <v>439</v>
      </c>
      <c r="U23" t="s">
        <v>440</v>
      </c>
      <c r="V23" s="26"/>
      <c r="W23" s="25" t="s">
        <v>0</v>
      </c>
      <c r="Y23" s="26"/>
      <c r="Z23" s="25"/>
      <c r="AB23" s="26"/>
      <c r="BN23" s="24" t="s">
        <v>441</v>
      </c>
      <c r="BO23" s="21" t="str">
        <f ca="1">IFERROR(__xludf.DUMMYFUNCTION("GOOGLETRANSLATE($A19,A$1,B$1)"),"Autopsie")</f>
        <v>Autopsie</v>
      </c>
      <c r="BP23" s="21" t="str">
        <f ca="1">IFERROR(__xludf.DUMMYFUNCTION("GOOGLETRANSLATE($A19,A$1,C$1)"),"autopsie")</f>
        <v>autopsie</v>
      </c>
      <c r="BQ23" s="21" t="str">
        <f ca="1">IFERROR(__xludf.DUMMYFUNCTION("GOOGLETRANSLATE($A19,A$1,D$1)"),"вскрытие")</f>
        <v>вскрытие</v>
      </c>
      <c r="BR23" t="s">
        <v>442</v>
      </c>
      <c r="BS23" s="22" t="str">
        <f ca="1">IFERROR(__xludf.DUMMYFUNCTION("GOOGLETRANSLATE($A19,A$1,F$1)"),"Sekcja zwłok")</f>
        <v>Sekcja zwłok</v>
      </c>
      <c r="BT23" s="21" t="str">
        <f ca="1">IFERROR(__xludf.DUMMYFUNCTION("GOOGLETRANSLATE($A19,A$1,G$1)"),"pitva")</f>
        <v>pitva</v>
      </c>
      <c r="BU23" s="21" t="str">
        <f ca="1">IFERROR(__xludf.DUMMYFUNCTION("GOOGLETRANSLATE($A19,A$1,H$1)"),"pitva")</f>
        <v>pitva</v>
      </c>
      <c r="BV23" t="s">
        <v>443</v>
      </c>
      <c r="BW23" t="s">
        <v>444</v>
      </c>
      <c r="BX23" t="s">
        <v>445</v>
      </c>
      <c r="BY23" t="s">
        <v>445</v>
      </c>
      <c r="BZ23" t="s">
        <v>446</v>
      </c>
      <c r="CA23" t="s">
        <v>447</v>
      </c>
      <c r="CB23" s="21" t="str">
        <f ca="1">IFERROR(__xludf.DUMMYFUNCTION("GOOGLETRANSLATE($A19,A$1,O$1)"),"αυτοψία")</f>
        <v>αυτοψία</v>
      </c>
      <c r="CC23" s="21" t="str">
        <f ca="1">IFERROR(__xludf.DUMMYFUNCTION("GOOGLETRANSLATE($A19,A$1,P$1)"),"autopsie")</f>
        <v>autopsie</v>
      </c>
      <c r="CD23" s="21" t="str">
        <f ca="1">IFERROR(__xludf.DUMMYFUNCTION("GOOGLETRANSLATE($A19,A$1,Q$1)"),"autópsia")</f>
        <v>autópsia</v>
      </c>
      <c r="CE23" s="21" t="str">
        <f ca="1">IFERROR(__xludf.DUMMYFUNCTION("GOOGLETRANSLATE($A19,A$1,R$1)"),"autopsia")</f>
        <v>autopsia</v>
      </c>
      <c r="CF23" s="21" t="str">
        <f ca="1">IFERROR(__xludf.DUMMYFUNCTION("GOOGLETRANSLATE($A19,A$1,S$1)"),"autopsie")</f>
        <v>autopsie</v>
      </c>
      <c r="CG23" t="s">
        <v>448</v>
      </c>
      <c r="CH23" t="s">
        <v>448</v>
      </c>
      <c r="CI23" s="23" t="str">
        <f ca="1">IFERROR(__xludf.DUMMYFUNCTION("GOOGLETRANSLATE($A19,A$1,V$1)"),"การชันสูตรศพ")</f>
        <v>การชันสูตรศพ</v>
      </c>
      <c r="CJ23" s="21" t="str">
        <f ca="1">IFERROR(__xludf.DUMMYFUNCTION("GOOGLETRANSLATE($A19,A$1,W$1)"),"ऑटोप्सी")</f>
        <v>ऑटोप्सी</v>
      </c>
      <c r="CK23" s="21" t="str">
        <f ca="1">IFERROR(__xludf.DUMMYFUNCTION("GOOGLETRANSLATE($A19,A$1,X$1)"),"کالبد شکافی")</f>
        <v>کالبد شکافی</v>
      </c>
      <c r="CL23" s="21" t="str">
        <f ca="1">IFERROR(__xludf.DUMMYFUNCTION("GOOGLETRANSLATE($A19,A$1,Y$1)"),"تشريح الجثة")</f>
        <v>تشريح الجثة</v>
      </c>
      <c r="CM23" s="21" t="str">
        <f ca="1">IFERROR(__xludf.DUMMYFUNCTION("GOOGLETRANSLATE($A19,A$1,Z$1)"),"otopsi")</f>
        <v>otopsi</v>
      </c>
      <c r="CN23" t="s">
        <v>449</v>
      </c>
      <c r="CQ23" s="21" t="str">
        <f ca="1">IFERROR(__xludf.DUMMYFUNCTION("GOOGLETRANSLATE($A19,A$1,AD$1)"),"obdukcija")</f>
        <v>obdukcija</v>
      </c>
      <c r="CR23" s="21" t="str">
        <f ca="1">IFERROR(__xludf.DUMMYFUNCTION("GOOGLETRANSLATE($A19,A$1,AE$1)"),"검시")</f>
        <v>검시</v>
      </c>
      <c r="CS23" s="21" t="str">
        <f ca="1">IFERROR(__xludf.DUMMYFUNCTION("GOOGLETRANSLATE($A19,B$1,AF$1)"),"נתיחה שלאחר המוות")</f>
        <v>נתיחה שלאחר המוות</v>
      </c>
    </row>
    <row r="24" spans="3:97" ht="15.75">
      <c r="C24" t="s">
        <v>450</v>
      </c>
      <c r="D24" t="s">
        <v>451</v>
      </c>
      <c r="E24" t="s">
        <v>452</v>
      </c>
      <c r="F24" s="19" t="str">
        <f ca="1">IFERROR(__xludf.DUMMYFUNCTION("GOOGLETRANSLATE($A20,A$1,B$1)"),"ganz ehrlich und aufrichtig sein")</f>
        <v>ganz ehrlich und aufrichtig sein</v>
      </c>
      <c r="K24" s="25" t="s">
        <v>192</v>
      </c>
      <c r="L24" t="s">
        <v>193</v>
      </c>
      <c r="M24" s="26" t="s">
        <v>713</v>
      </c>
      <c r="N24" s="25" t="s">
        <v>453</v>
      </c>
      <c r="O24" t="s">
        <v>454</v>
      </c>
      <c r="P24" s="26" t="s">
        <v>731</v>
      </c>
      <c r="Q24" s="25" t="s">
        <v>455</v>
      </c>
      <c r="R24" t="s">
        <v>456</v>
      </c>
      <c r="S24" s="26" t="s">
        <v>740</v>
      </c>
      <c r="T24" s="25" t="s">
        <v>457</v>
      </c>
      <c r="U24" t="s">
        <v>458</v>
      </c>
      <c r="V24" s="26"/>
      <c r="W24" s="25" t="s">
        <v>0</v>
      </c>
      <c r="Y24" s="26"/>
      <c r="Z24" s="25"/>
      <c r="AB24" s="26"/>
      <c r="BN24" s="24" t="s">
        <v>459</v>
      </c>
      <c r="BO24" s="21" t="str">
        <f ca="1">IFERROR(__xludf.DUMMYFUNCTION("GOOGLETRANSLATE($A20,A$1,B$1)"),"ganz ehrlich und aufrichtig sein")</f>
        <v>ganz ehrlich und aufrichtig sein</v>
      </c>
      <c r="BP24" s="21" t="str">
        <f ca="1">IFERROR(__xludf.DUMMYFUNCTION("GOOGLETRANSLATE($A20,A$1,C$1)"),"Om volledig eerlijk en oprecht te zijn")</f>
        <v>Om volledig eerlijk en oprecht te zijn</v>
      </c>
      <c r="BQ24" s="21" t="str">
        <f ca="1">IFERROR(__xludf.DUMMYFUNCTION("GOOGLETRANSLATE($A20,A$1,D$1)"),"Чтобы быть совершенно честным и искренним")</f>
        <v>Чтобы быть совершенно честным и искренним</v>
      </c>
      <c r="BR24" t="s">
        <v>460</v>
      </c>
      <c r="BS24" s="22" t="str">
        <f ca="1">IFERROR(__xludf.DUMMYFUNCTION("GOOGLETRANSLATE($A20,A$1,F$1)"),"być całkowicie szczerym i szczerym")</f>
        <v>być całkowicie szczerym i szczerym</v>
      </c>
      <c r="BT24" s="21" t="str">
        <f ca="1">IFERROR(__xludf.DUMMYFUNCTION("GOOGLETRANSLATE($A20,A$1,G$1)"),"být naprosto upřímný a upřímný")</f>
        <v>být naprosto upřímný a upřímný</v>
      </c>
      <c r="BU24" s="21" t="str">
        <f ca="1">IFERROR(__xludf.DUMMYFUNCTION("GOOGLETRANSLATE($A20,A$1,H$1)"),"byť úplne úprimný a úprimný")</f>
        <v>byť úplne úprimný a úprimný</v>
      </c>
      <c r="BV24" t="s">
        <v>461</v>
      </c>
      <c r="BW24" t="s">
        <v>462</v>
      </c>
      <c r="BX24" t="s">
        <v>463</v>
      </c>
      <c r="BY24" t="s">
        <v>464</v>
      </c>
      <c r="BZ24" t="s">
        <v>465</v>
      </c>
      <c r="CA24" t="s">
        <v>466</v>
      </c>
      <c r="CB24" s="21" t="str">
        <f ca="1">IFERROR(__xludf.DUMMYFUNCTION("GOOGLETRANSLATE($A20,A$1,O$1)"),"να είμαι απόλυτα ειλικρινής και ειλικρινής")</f>
        <v>να είμαι απόλυτα ειλικρινής και ειλικρινής</v>
      </c>
      <c r="CC24" s="21" t="str">
        <f ca="1">IFERROR(__xludf.DUMMYFUNCTION("GOOGLETRANSLATE($A20,A$1,P$1)"),"être complètement honnête et sincère")</f>
        <v>être complètement honnête et sincère</v>
      </c>
      <c r="CD24" s="21" t="str">
        <f ca="1">IFERROR(__xludf.DUMMYFUNCTION("GOOGLETRANSLATE($A20,A$1,Q$1)"),"para ser completamente honesto e sincero")</f>
        <v>para ser completamente honesto e sincero</v>
      </c>
      <c r="CE24" s="21" t="str">
        <f ca="1">IFERROR(__xludf.DUMMYFUNCTION("GOOGLETRANSLATE($A20,A$1,R$1)"),"Ad essere completamente onesti e sinceri")</f>
        <v>Ad essere completamente onesti e sinceri</v>
      </c>
      <c r="CF24" s="21" t="str">
        <f ca="1">IFERROR(__xludf.DUMMYFUNCTION("GOOGLETRANSLATE($A20,A$1,S$1)"),"a fi complet cinstit și sincer")</f>
        <v>a fi complet cinstit și sincer</v>
      </c>
      <c r="CG24" t="s">
        <v>467</v>
      </c>
      <c r="CH24" t="s">
        <v>468</v>
      </c>
      <c r="CI24" s="23" t="str">
        <f ca="1">IFERROR(__xludf.DUMMYFUNCTION("GOOGLETRANSLATE($A20,A$1,V$1)"),"จะซื่อสัตย์และจริงใจอย่างสมบูรณ์")</f>
        <v>จะซื่อสัตย์และจริงใจอย่างสมบูรณ์</v>
      </c>
      <c r="CJ24" s="21" t="str">
        <f ca="1">IFERROR(__xludf.DUMMYFUNCTION("GOOGLETRANSLATE($A20,A$1,W$1)"),"पूरी तरह से ईमानदार और ईमानदार होना")</f>
        <v>पूरी तरह से ईमानदार और ईमानदार होना</v>
      </c>
      <c r="CK24" s="21" t="str">
        <f ca="1">IFERROR(__xludf.DUMMYFUNCTION("GOOGLETRANSLATE($A20,A$1,X$1)"),"کاملاً صادقانه و صادقانه")</f>
        <v>کاملاً صادقانه و صادقانه</v>
      </c>
      <c r="CL24" s="21" t="str">
        <f ca="1">IFERROR(__xludf.DUMMYFUNCTION("GOOGLETRANSLATE($A20,A$1,Y$1)"),"أن تكون صادقًا تمامًا وصادقًا")</f>
        <v>أن تكون صادقًا تمامًا وصادقًا</v>
      </c>
      <c r="CM24" s="21" t="str">
        <f ca="1">IFERROR(__xludf.DUMMYFUNCTION("GOOGLETRANSLATE($A20,A$1,Z$1)"),"tamamen dürüst ve samimi olmak")</f>
        <v>tamamen dürüst ve samimi olmak</v>
      </c>
      <c r="CN24" t="s">
        <v>469</v>
      </c>
      <c r="CQ24" s="21" t="str">
        <f ca="1">IFERROR(__xludf.DUMMYFUNCTION("GOOGLETRANSLATE($A20,A$1,AD$1)"),"biti potpuno iskren i iskren")</f>
        <v>biti potpuno iskren i iskren</v>
      </c>
      <c r="CR24" s="21" t="str">
        <f ca="1">IFERROR(__xludf.DUMMYFUNCTION("GOOGLETRANSLATE($A20,A$1,AE$1)"),"완전히 정직하고 성실하다")</f>
        <v>완전히 정직하고 성실하다</v>
      </c>
      <c r="CS24" s="21" t="str">
        <f ca="1">IFERROR(__xludf.DUMMYFUNCTION("GOOGLETRANSLATE($A20,B$1,AF$1)"),"להיות כנה וכנה מוחלט")</f>
        <v>להיות כנה וכנה מוחלט</v>
      </c>
    </row>
    <row r="25" spans="3:97" ht="15.75">
      <c r="C25" t="s">
        <v>470</v>
      </c>
      <c r="D25" t="s">
        <v>471</v>
      </c>
      <c r="E25" t="s">
        <v>472</v>
      </c>
      <c r="F25" s="19" t="str">
        <f ca="1">IFERROR(__xludf.DUMMYFUNCTION("GOOGLETRANSLATE($A21,A$1,B$1)"),"Harakiri; Autopsie des Selbstmordes")</f>
        <v>Harakiri; Autopsie des Selbstmordes</v>
      </c>
      <c r="K25" s="25" t="s">
        <v>192</v>
      </c>
      <c r="L25" t="s">
        <v>193</v>
      </c>
      <c r="M25" s="26" t="s">
        <v>713</v>
      </c>
      <c r="N25" s="25" t="s">
        <v>240</v>
      </c>
      <c r="O25" t="s">
        <v>241</v>
      </c>
      <c r="P25" s="26" t="s">
        <v>724</v>
      </c>
      <c r="Q25" s="25" t="s">
        <v>473</v>
      </c>
      <c r="R25" t="s">
        <v>474</v>
      </c>
      <c r="S25" s="26" t="s">
        <v>741</v>
      </c>
      <c r="T25" s="25" t="s">
        <v>475</v>
      </c>
      <c r="U25" t="s">
        <v>476</v>
      </c>
      <c r="V25" s="26"/>
      <c r="W25" s="25" t="s">
        <v>0</v>
      </c>
      <c r="Y25" s="26"/>
      <c r="Z25" s="25"/>
      <c r="AB25" s="26"/>
      <c r="BN25" s="24" t="s">
        <v>472</v>
      </c>
      <c r="BO25" s="21" t="str">
        <f ca="1">IFERROR(__xludf.DUMMYFUNCTION("GOOGLETRANSLATE($A21,A$1,B$1)"),"Harakiri; Autopsie des Selbstmordes")</f>
        <v>Harakiri; Autopsie des Selbstmordes</v>
      </c>
      <c r="BP25" s="21" t="str">
        <f ca="1">IFERROR(__xludf.DUMMYFUNCTION("GOOGLETRANSLATE($A21,A$1,C$1)"),"harakiri; Autopsie van zelfmoord")</f>
        <v>harakiri; Autopsie van zelfmoord</v>
      </c>
      <c r="BQ25" s="21" t="str">
        <f ca="1">IFERROR(__xludf.DUMMYFUNCTION("GOOGLETRANSLATE($A21,A$1,D$1)"),"харакири; вскрытие самоубийства")</f>
        <v>харакири; вскрытие самоубийства</v>
      </c>
      <c r="BR25" t="s">
        <v>477</v>
      </c>
      <c r="BS25" s="22" t="str">
        <f ca="1">IFERROR(__xludf.DUMMYFUNCTION("GOOGLETRANSLATE($A21,A$1,F$1)"),"harakiri; Sekcja zwłok samobójstwa")</f>
        <v>harakiri; Sekcja zwłok samobójstwa</v>
      </c>
      <c r="BT25" s="21" t="str">
        <f ca="1">IFERROR(__xludf.DUMMYFUNCTION("GOOGLETRANSLATE($A21,A$1,G$1)"),"harakiri; Pitva sebevraždy")</f>
        <v>harakiri; Pitva sebevraždy</v>
      </c>
      <c r="BU25" s="21" t="str">
        <f ca="1">IFERROR(__xludf.DUMMYFUNCTION("GOOGLETRANSLATE($A21,A$1,H$1)"),"hara-kiri; samovražda")</f>
        <v>hara-kiri; samovražda</v>
      </c>
      <c r="BV25" t="s">
        <v>478</v>
      </c>
      <c r="BW25" t="s">
        <v>479</v>
      </c>
      <c r="BX25" t="s">
        <v>480</v>
      </c>
      <c r="BY25" t="s">
        <v>481</v>
      </c>
      <c r="BZ25" t="s">
        <v>482</v>
      </c>
      <c r="CA25" t="s">
        <v>483</v>
      </c>
      <c r="CB25" s="21" t="str">
        <f ca="1">IFERROR(__xludf.DUMMYFUNCTION("GOOGLETRANSLATE($A21,A$1,O$1)"),"χαρακίρι; αυτοψία αυτοκτονίας")</f>
        <v>χαρακίρι; αυτοψία αυτοκτονίας</v>
      </c>
      <c r="CC25" s="21" t="str">
        <f ca="1">IFERROR(__xludf.DUMMYFUNCTION("GOOGLETRANSLATE($A21,A$1,P$1)"),"hara-kiri; autopsie du suicide")</f>
        <v>hara-kiri; autopsie du suicide</v>
      </c>
      <c r="CD25" s="21" t="str">
        <f ca="1">IFERROR(__xludf.DUMMYFUNCTION("GOOGLETRANSLATE($A21,A$1,Q$1)"),"Hara-kiri; autópsia de suicídio")</f>
        <v>Hara-kiri; autópsia de suicídio</v>
      </c>
      <c r="CE25" s="21" t="str">
        <f ca="1">IFERROR(__xludf.DUMMYFUNCTION("GOOGLETRANSLATE($A21,A$1,R$1)"),"Hara-Kiri; Autopsia del suicidio")</f>
        <v>Hara-Kiri; Autopsia del suicidio</v>
      </c>
      <c r="CF25" s="21" t="str">
        <f ca="1">IFERROR(__xludf.DUMMYFUNCTION("GOOGLETRANSLATE($A21,A$1,S$1)"),"Hara-kiri; Autopsia sinuciderii")</f>
        <v>Hara-kiri; Autopsia sinuciderii</v>
      </c>
      <c r="CG25" t="s">
        <v>484</v>
      </c>
      <c r="CH25" t="s">
        <v>485</v>
      </c>
      <c r="CI25" s="23" t="str">
        <f ca="1">IFERROR(__xludf.DUMMYFUNCTION("GOOGLETRANSLATE($A21,A$1,V$1)"),"Hara-Kiri; การชันสูตรศพของการฆ่าตัวตาย")</f>
        <v>Hara-Kiri; การชันสูตรศพของการฆ่าตัวตาย</v>
      </c>
      <c r="CJ25" s="21" t="str">
        <f ca="1">IFERROR(__xludf.DUMMYFUNCTION("GOOGLETRANSLATE($A21,A$1,W$1)"),"हारा-किरी; आत्महत्या")</f>
        <v>हारा-किरी; आत्महत्या</v>
      </c>
      <c r="CK25" s="21" t="str">
        <f ca="1">IFERROR(__xludf.DUMMYFUNCTION("GOOGLETRANSLATE($A21,A$1,X$1)"),"حرا-کیری ؛ کالبد شکافی خودکشی")</f>
        <v>حرا-کیری ؛ کالبد شکافی خودکشی</v>
      </c>
      <c r="CL25" s="21" t="str">
        <f ca="1">IFERROR(__xludf.DUMMYFUNCTION("GOOGLETRANSLATE($A21,A$1,Y$1)"),"هارا كيري تشريح الانتحار")</f>
        <v>هارا كيري تشريح الانتحار</v>
      </c>
      <c r="CM25" s="21" t="str">
        <f ca="1">IFERROR(__xludf.DUMMYFUNCTION("GOOGLETRANSLATE($A21,A$1,Z$1)"),"harakiri; İntihar otopsisi")</f>
        <v>harakiri; İntihar otopsisi</v>
      </c>
      <c r="CN25" t="s">
        <v>486</v>
      </c>
      <c r="CQ25" s="21" t="str">
        <f ca="1">IFERROR(__xludf.DUMMYFUNCTION("GOOGLETRANSLATE($A21,A$1,AD$1)"),"hara-kiri; obdukcija samoubojstva")</f>
        <v>hara-kiri; obdukcija samoubojstva</v>
      </c>
      <c r="CR25" s="21" t="str">
        <f ca="1">IFERROR(__xludf.DUMMYFUNCTION("GOOGLETRANSLATE($A21,A$1,AE$1)"),"하라 키리; 자살의 부검")</f>
        <v>하라 키리; 자살의 부검</v>
      </c>
      <c r="CS25" s="21" t="str">
        <f ca="1">IFERROR(__xludf.DUMMYFUNCTION("GOOGLETRANSLATE($A21,B$1,AF$1)"),"חֲרָקִירִי; נתיחה שלאחר המוות של התאבדות")</f>
        <v>חֲרָקִירִי; נתיחה שלאחר המוות של התאבדות</v>
      </c>
    </row>
    <row r="26" spans="3:97" ht="15.75">
      <c r="C26" t="s">
        <v>487</v>
      </c>
      <c r="D26" t="s">
        <v>488</v>
      </c>
      <c r="E26" t="s">
        <v>489</v>
      </c>
      <c r="F26" s="19" t="str">
        <f ca="1">IFERROR(__xludf.DUMMYFUNCTION("GOOGLETRANSLATE($A22,A$1,B$1)"),"Dissektion des Bauches, um eine Perle zu verbergen")</f>
        <v>Dissektion des Bauches, um eine Perle zu verbergen</v>
      </c>
      <c r="K26" s="25" t="s">
        <v>192</v>
      </c>
      <c r="L26" t="s">
        <v>193</v>
      </c>
      <c r="M26" s="26" t="s">
        <v>713</v>
      </c>
      <c r="N26" s="25" t="s">
        <v>240</v>
      </c>
      <c r="O26" t="s">
        <v>241</v>
      </c>
      <c r="P26" s="26" t="s">
        <v>724</v>
      </c>
      <c r="Q26" s="25" t="s">
        <v>490</v>
      </c>
      <c r="R26" t="s">
        <v>491</v>
      </c>
      <c r="S26" s="26" t="s">
        <v>742</v>
      </c>
      <c r="T26" s="25" t="s">
        <v>492</v>
      </c>
      <c r="U26" t="s">
        <v>493</v>
      </c>
      <c r="V26" s="26"/>
      <c r="W26" s="25" t="s">
        <v>0</v>
      </c>
      <c r="Y26" s="26"/>
      <c r="Z26" s="25"/>
      <c r="AB26" s="26"/>
      <c r="BN26" s="24" t="s">
        <v>494</v>
      </c>
      <c r="BO26" s="21" t="str">
        <f ca="1">IFERROR(__xludf.DUMMYFUNCTION("GOOGLETRANSLATE($A22,A$1,B$1)"),"Dissektion des Bauches, um eine Perle zu verbergen")</f>
        <v>Dissektion des Bauches, um eine Perle zu verbergen</v>
      </c>
      <c r="BP26" s="21" t="str">
        <f ca="1">IFERROR(__xludf.DUMMYFUNCTION("GOOGLETRANSLATE($A22,A$1,C$1)"),"Dissectie van de buik om een ​​parel te verbergen")</f>
        <v>Dissectie van de buik om een ​​parel te verbergen</v>
      </c>
      <c r="BQ26" s="21" t="str">
        <f ca="1">IFERROR(__xludf.DUMMYFUNCTION("GOOGLETRANSLATE($A22,A$1,D$1)"),"Рассечение живота, чтобы скрыть жемчужину")</f>
        <v>Рассечение живота, чтобы скрыть жемчужину</v>
      </c>
      <c r="BR26" t="s">
        <v>495</v>
      </c>
      <c r="BS26" s="22" t="str">
        <f ca="1">IFERROR(__xludf.DUMMYFUNCTION("GOOGLETRANSLATE($A22,A$1,F$1)"),"Rozwarstwienie brzucha, aby ukryć perłę")</f>
        <v>Rozwarstwienie brzucha, aby ukryć perłę</v>
      </c>
      <c r="BT26" s="21" t="str">
        <f ca="1">IFERROR(__xludf.DUMMYFUNCTION("GOOGLETRANSLATE($A22,A$1,G$1)"),"Disekci břicha skrývat perlu")</f>
        <v>Disekci břicha skrývat perlu</v>
      </c>
      <c r="BU26" s="21" t="str">
        <f ca="1">IFERROR(__xludf.DUMMYFUNCTION("GOOGLETRANSLATE($A22,A$1,H$1)"),"Pitva brucha skryť perlu")</f>
        <v>Pitva brucha skryť perlu</v>
      </c>
      <c r="BV26" t="s">
        <v>496</v>
      </c>
      <c r="BW26" t="s">
        <v>497</v>
      </c>
      <c r="BX26" t="s">
        <v>498</v>
      </c>
      <c r="BY26" t="s">
        <v>499</v>
      </c>
      <c r="BZ26" t="s">
        <v>500</v>
      </c>
      <c r="CA26" t="s">
        <v>501</v>
      </c>
      <c r="CB26" s="21" t="str">
        <f ca="1">IFERROR(__xludf.DUMMYFUNCTION("GOOGLETRANSLATE($A22,A$1,O$1)"),"Ανατομή της κοιλιάς για να κρύψει ένα μαργαριτάρι")</f>
        <v>Ανατομή της κοιλιάς για να κρύψει ένα μαργαριτάρι</v>
      </c>
      <c r="CC26" s="21" t="str">
        <f ca="1">IFERROR(__xludf.DUMMYFUNCTION("GOOGLETRANSLATE($A22,A$1,P$1)"),"Dissection de l'abdomen pour cacher une perle")</f>
        <v>Dissection de l'abdomen pour cacher une perle</v>
      </c>
      <c r="CD26" s="21" t="str">
        <f ca="1">IFERROR(__xludf.DUMMYFUNCTION("GOOGLETRANSLATE($A22,A$1,Q$1)"),"Dissecção do abdômen para esconder uma pérola")</f>
        <v>Dissecção do abdômen para esconder uma pérola</v>
      </c>
      <c r="CE26" s="21" t="str">
        <f ca="1">IFERROR(__xludf.DUMMYFUNCTION("GOOGLETRANSLATE($A22,A$1,R$1)"),"Dissezione dell'addome per nascondere una perla")</f>
        <v>Dissezione dell'addome per nascondere una perla</v>
      </c>
      <c r="CF26" s="21" t="str">
        <f ca="1">IFERROR(__xludf.DUMMYFUNCTION("GOOGLETRANSLATE($A22,A$1,S$1)"),"Disecția abdomenului pentru a ascunde o perlă")</f>
        <v>Disecția abdomenului pentru a ascunde o perlă</v>
      </c>
      <c r="CG26" t="s">
        <v>502</v>
      </c>
      <c r="CH26" t="s">
        <v>503</v>
      </c>
      <c r="CI26" s="23" t="str">
        <f ca="1">IFERROR(__xludf.DUMMYFUNCTION("GOOGLETRANSLATE($A22,A$1,V$1)"),"การผ่าท้องเพื่อซ่อนไข่มุก")</f>
        <v>การผ่าท้องเพื่อซ่อนไข่มุก</v>
      </c>
      <c r="CJ26" s="21" t="str">
        <f ca="1">IFERROR(__xludf.DUMMYFUNCTION("GOOGLETRANSLATE($A22,A$1,W$1)"),"मोती को छिपाने के लिए पेट का विच्छेदन")</f>
        <v>मोती को छिपाने के लिए पेट का विच्छेदन</v>
      </c>
      <c r="CK26" s="21" t="str">
        <f ca="1">IFERROR(__xludf.DUMMYFUNCTION("GOOGLETRANSLATE($A22,A$1,X$1)"),"برش شکم برای پنهان کردن مروارید")</f>
        <v>برش شکم برای پنهان کردن مروارید</v>
      </c>
      <c r="CL26" s="21" t="str">
        <f ca="1">IFERROR(__xludf.DUMMYFUNCTION("GOOGLETRANSLATE($A22,A$1,Y$1)"),"تشريح البطن لإخفاء لؤلؤة")</f>
        <v>تشريح البطن لإخفاء لؤلؤة</v>
      </c>
      <c r="CM26" s="21" t="str">
        <f ca="1">IFERROR(__xludf.DUMMYFUNCTION("GOOGLETRANSLATE($A22,A$1,Z$1)"),"Bir inciyi gizlemek için karın diseksiyonu")</f>
        <v>Bir inciyi gizlemek için karın diseksiyonu</v>
      </c>
      <c r="CN26" t="s">
        <v>504</v>
      </c>
      <c r="CQ26" s="21" t="str">
        <f ca="1">IFERROR(__xludf.DUMMYFUNCTION("GOOGLETRANSLATE($A22,A$1,AD$1)"),"Disekcija trbuha da sakrije biser")</f>
        <v>Disekcija trbuha da sakrije biser</v>
      </c>
      <c r="CR26" s="21" t="str">
        <f ca="1">IFERROR(__xludf.DUMMYFUNCTION("GOOGLETRANSLATE($A22,A$1,AE$1)"),"진주를 숨기기 위해 복부의 해부")</f>
        <v>진주를 숨기기 위해 복부의 해부</v>
      </c>
      <c r="CS26" s="21" t="str">
        <f ca="1">IFERROR(__xludf.DUMMYFUNCTION("GOOGLETRANSLATE($A22,B$1,AF$1)"),"ניתוק הבטן להסתיר פנינה")</f>
        <v>ניתוק הבטן להסתיר פנינה</v>
      </c>
    </row>
    <row r="27" spans="3:97" ht="15.75">
      <c r="C27" t="s">
        <v>505</v>
      </c>
      <c r="D27" t="s">
        <v>506</v>
      </c>
      <c r="E27" t="s">
        <v>507</v>
      </c>
      <c r="F27" s="19" t="str">
        <f ca="1">IFERROR(__xludf.DUMMYFUNCTION("GOOGLETRANSLATE($A23,A$1,B$1)"),"Autopsie; Postmortem")</f>
        <v>Autopsie; Postmortem</v>
      </c>
      <c r="K27" s="25" t="s">
        <v>435</v>
      </c>
      <c r="L27" t="s">
        <v>436</v>
      </c>
      <c r="M27" s="26" t="s">
        <v>717</v>
      </c>
      <c r="N27" s="25" t="s">
        <v>437</v>
      </c>
      <c r="O27" t="s">
        <v>438</v>
      </c>
      <c r="P27" s="26" t="s">
        <v>730</v>
      </c>
      <c r="Q27" s="25" t="s">
        <v>224</v>
      </c>
      <c r="R27" t="s">
        <v>225</v>
      </c>
      <c r="S27" s="26" t="s">
        <v>714</v>
      </c>
      <c r="T27" s="25" t="s">
        <v>192</v>
      </c>
      <c r="U27" t="s">
        <v>193</v>
      </c>
      <c r="V27" s="26"/>
      <c r="W27" s="25" t="s">
        <v>0</v>
      </c>
      <c r="Y27" s="26"/>
      <c r="Z27" s="25"/>
      <c r="AB27" s="26"/>
      <c r="BN27" s="24" t="s">
        <v>508</v>
      </c>
      <c r="BO27" s="21" t="str">
        <f ca="1">IFERROR(__xludf.DUMMYFUNCTION("GOOGLETRANSLATE($A23,A$1,B$1)"),"Autopsie; Postmortem")</f>
        <v>Autopsie; Postmortem</v>
      </c>
      <c r="BP27" s="21" t="str">
        <f ca="1">IFERROR(__xludf.DUMMYFUNCTION("GOOGLETRANSLATE($A23,A$1,C$1)"),"autopsie; postmortem")</f>
        <v>autopsie; postmortem</v>
      </c>
      <c r="BQ27" s="21" t="str">
        <f ca="1">IFERROR(__xludf.DUMMYFUNCTION("GOOGLETRANSLATE($A23,A$1,D$1)"),"вскрытие; посмертный")</f>
        <v>вскрытие; посмертный</v>
      </c>
      <c r="BR27" t="s">
        <v>509</v>
      </c>
      <c r="BS27" s="22" t="str">
        <f ca="1">IFERROR(__xludf.DUMMYFUNCTION("GOOGLETRANSLATE($A23,A$1,F$1)"),"Sekcja zwłok; sekcja zwłok")</f>
        <v>Sekcja zwłok; sekcja zwłok</v>
      </c>
      <c r="BT27" s="21" t="str">
        <f ca="1">IFERROR(__xludf.DUMMYFUNCTION("GOOGLETRANSLATE($A23,A$1,G$1)"),"pitva; Postmortem")</f>
        <v>pitva; Postmortem</v>
      </c>
      <c r="BU27" s="21" t="str">
        <f ca="1">IFERROR(__xludf.DUMMYFUNCTION("GOOGLETRANSLATE($A23,A$1,H$1)"),"pitva; posmrtný")</f>
        <v>pitva; posmrtný</v>
      </c>
      <c r="BV27" t="s">
        <v>510</v>
      </c>
      <c r="BW27" t="s">
        <v>511</v>
      </c>
      <c r="BX27" t="s">
        <v>512</v>
      </c>
      <c r="BY27" t="s">
        <v>513</v>
      </c>
      <c r="BZ27" t="s">
        <v>514</v>
      </c>
      <c r="CA27" t="s">
        <v>515</v>
      </c>
      <c r="CB27" s="21" t="str">
        <f ca="1">IFERROR(__xludf.DUMMYFUNCTION("GOOGLETRANSLATE($A23,A$1,O$1)"),"αυτοψία; μετά θάνατον")</f>
        <v>αυτοψία; μετά θάνατον</v>
      </c>
      <c r="CC27" s="21" t="str">
        <f ca="1">IFERROR(__xludf.DUMMYFUNCTION("GOOGLETRANSLATE($A23,A$1,P$1)"),"autopsie; autopsie")</f>
        <v>autopsie; autopsie</v>
      </c>
      <c r="CD27" s="21" t="str">
        <f ca="1">IFERROR(__xludf.DUMMYFUNCTION("GOOGLETRANSLATE($A23,A$1,Q$1)"),"autópsia; post -mortem")</f>
        <v>autópsia; post -mortem</v>
      </c>
      <c r="CE27" s="21" t="str">
        <f ca="1">IFERROR(__xludf.DUMMYFUNCTION("GOOGLETRANSLATE($A23,A$1,R$1)"),"autopsia; Postmortem")</f>
        <v>autopsia; Postmortem</v>
      </c>
      <c r="CF27" s="21" t="str">
        <f ca="1">IFERROR(__xludf.DUMMYFUNCTION("GOOGLETRANSLATE($A23,A$1,S$1)"),"autopsie; post-mortem")</f>
        <v>autopsie; post-mortem</v>
      </c>
      <c r="CG27" t="s">
        <v>516</v>
      </c>
      <c r="CH27" t="s">
        <v>517</v>
      </c>
      <c r="CI27" s="23" t="str">
        <f ca="1">IFERROR(__xludf.DUMMYFUNCTION("GOOGLETRANSLATE($A23,A$1,V$1)"),"การชันสูตรศพ; การชันสูตรศพ")</f>
        <v>การชันสูตรศพ; การชันสูตรศพ</v>
      </c>
      <c r="CJ27" s="21" t="str">
        <f ca="1">IFERROR(__xludf.DUMMYFUNCTION("GOOGLETRANSLATE($A23,A$1,W$1)"),"शव परीक्षा; शवपरीक्षा")</f>
        <v>शव परीक्षा; शवपरीक्षा</v>
      </c>
      <c r="CK27" s="21" t="str">
        <f ca="1">IFERROR(__xludf.DUMMYFUNCTION("GOOGLETRANSLATE($A23,A$1,X$1)"),"کالبد شکافی ؛ بعد از مرگ")</f>
        <v>کالبد شکافی ؛ بعد از مرگ</v>
      </c>
      <c r="CL27" s="21" t="str">
        <f ca="1">IFERROR(__xludf.DUMMYFUNCTION("GOOGLETRANSLATE($A23,A$1,Y$1)"),"تشريح الجثة؛ ما بعد الوفاة")</f>
        <v>تشريح الجثة؛ ما بعد الوفاة</v>
      </c>
      <c r="CM27" s="21" t="str">
        <f ca="1">IFERROR(__xludf.DUMMYFUNCTION("GOOGLETRANSLATE($A23,A$1,Z$1)"),"otopsi; postmortem")</f>
        <v>otopsi; postmortem</v>
      </c>
      <c r="CN27" t="s">
        <v>518</v>
      </c>
      <c r="CQ27" s="21" t="str">
        <f ca="1">IFERROR(__xludf.DUMMYFUNCTION("GOOGLETRANSLATE($A23,A$1,AD$1)"),"obdukcija; postmor")</f>
        <v>obdukcija; postmor</v>
      </c>
      <c r="CR27" s="21" t="str">
        <f ca="1">IFERROR(__xludf.DUMMYFUNCTION("GOOGLETRANSLATE($A23,A$1,AE$1)"),"검시; 검시")</f>
        <v>검시; 검시</v>
      </c>
      <c r="CS27" s="21" t="str">
        <f ca="1">IFERROR(__xludf.DUMMYFUNCTION("GOOGLETRANSLATE($A23,B$1,AF$1)"),"נתיחה שלאחר המוות; אַחֲרֵי מַוֵת")</f>
        <v>נתיחה שלאחר המוות; אַחֲרֵי מַוֵת</v>
      </c>
    </row>
    <row r="28" spans="3:97" ht="15.75">
      <c r="C28" t="s">
        <v>519</v>
      </c>
      <c r="D28" t="s">
        <v>520</v>
      </c>
      <c r="E28" t="s">
        <v>521</v>
      </c>
      <c r="F28" s="19" t="str">
        <f ca="1">IFERROR(__xludf.DUMMYFUNCTION("GOOGLETRANSLATE($A24,A$1,B$1)"),"menschliche Anatomie")</f>
        <v>menschliche Anatomie</v>
      </c>
      <c r="K28" s="25" t="s">
        <v>522</v>
      </c>
      <c r="L28" t="s">
        <v>523</v>
      </c>
      <c r="M28" s="26" t="s">
        <v>718</v>
      </c>
      <c r="N28" s="25" t="s">
        <v>437</v>
      </c>
      <c r="O28" t="s">
        <v>438</v>
      </c>
      <c r="P28" s="26" t="s">
        <v>730</v>
      </c>
      <c r="Q28" s="25" t="s">
        <v>224</v>
      </c>
      <c r="R28" t="s">
        <v>225</v>
      </c>
      <c r="S28" s="26" t="s">
        <v>714</v>
      </c>
      <c r="T28" s="25" t="s">
        <v>192</v>
      </c>
      <c r="U28" t="s">
        <v>193</v>
      </c>
      <c r="V28" s="26"/>
      <c r="W28" s="25" t="s">
        <v>0</v>
      </c>
      <c r="Y28" s="26"/>
      <c r="Z28" s="25"/>
      <c r="AB28" s="26"/>
      <c r="BN28" s="24" t="s">
        <v>524</v>
      </c>
      <c r="BO28" s="21" t="str">
        <f ca="1">IFERROR(__xludf.DUMMYFUNCTION("GOOGLETRANSLATE($A24,A$1,B$1)"),"menschliche Anatomie")</f>
        <v>menschliche Anatomie</v>
      </c>
      <c r="BP28" s="21" t="str">
        <f ca="1">IFERROR(__xludf.DUMMYFUNCTION("GOOGLETRANSLATE($A24,A$1,C$1)"),"menselijke anatomie")</f>
        <v>menselijke anatomie</v>
      </c>
      <c r="BQ28" s="21" t="str">
        <f ca="1">IFERROR(__xludf.DUMMYFUNCTION("GOOGLETRANSLATE($A24,A$1,D$1)"),"Анатомия человека")</f>
        <v>Анатомия человека</v>
      </c>
      <c r="BR28" t="s">
        <v>525</v>
      </c>
      <c r="BS28" s="22" t="str">
        <f ca="1">IFERROR(__xludf.DUMMYFUNCTION("GOOGLETRANSLATE($A24,A$1,F$1)"),"Anatomia człowieka")</f>
        <v>Anatomia człowieka</v>
      </c>
      <c r="BT28" s="21" t="str">
        <f ca="1">IFERROR(__xludf.DUMMYFUNCTION("GOOGLETRANSLATE($A24,A$1,G$1)"),"anatomie člověka")</f>
        <v>anatomie člověka</v>
      </c>
      <c r="BU28" s="21" t="str">
        <f ca="1">IFERROR(__xludf.DUMMYFUNCTION("GOOGLETRANSLATE($A24,A$1,H$1)"),"ľudská anatómia")</f>
        <v>ľudská anatómia</v>
      </c>
      <c r="BV28" t="s">
        <v>526</v>
      </c>
      <c r="BW28" t="s">
        <v>527</v>
      </c>
      <c r="BX28" t="s">
        <v>528</v>
      </c>
      <c r="BY28" t="s">
        <v>529</v>
      </c>
      <c r="BZ28" t="s">
        <v>530</v>
      </c>
      <c r="CA28" t="s">
        <v>531</v>
      </c>
      <c r="CB28" s="21" t="str">
        <f ca="1">IFERROR(__xludf.DUMMYFUNCTION("GOOGLETRANSLATE($A24,A$1,O$1)"),"ανθρώπινη ανατομία")</f>
        <v>ανθρώπινη ανατομία</v>
      </c>
      <c r="CC28" s="21" t="str">
        <f ca="1">IFERROR(__xludf.DUMMYFUNCTION("GOOGLETRANSLATE($A24,A$1,P$1)"),"anatomie humaine")</f>
        <v>anatomie humaine</v>
      </c>
      <c r="CD28" s="21" t="str">
        <f ca="1">IFERROR(__xludf.DUMMYFUNCTION("GOOGLETRANSLATE($A24,A$1,Q$1)"),"anatomia humana")</f>
        <v>anatomia humana</v>
      </c>
      <c r="CE28" s="21" t="str">
        <f ca="1">IFERROR(__xludf.DUMMYFUNCTION("GOOGLETRANSLATE($A24,A$1,R$1)"),"anatomia umana")</f>
        <v>anatomia umana</v>
      </c>
      <c r="CF28" s="21" t="str">
        <f ca="1">IFERROR(__xludf.DUMMYFUNCTION("GOOGLETRANSLATE($A24,A$1,S$1)"),"Anatomia omului")</f>
        <v>Anatomia omului</v>
      </c>
      <c r="CG28" t="s">
        <v>532</v>
      </c>
      <c r="CH28" t="s">
        <v>533</v>
      </c>
      <c r="CI28" s="23" t="str">
        <f ca="1">IFERROR(__xludf.DUMMYFUNCTION("GOOGLETRANSLATE($A24,A$1,V$1)"),"กายวิภาคศาสตร์ของมนุษย์")</f>
        <v>กายวิภาคศาสตร์ของมนุษย์</v>
      </c>
      <c r="CJ28" s="21" t="str">
        <f ca="1">IFERROR(__xludf.DUMMYFUNCTION("GOOGLETRANSLATE($A24,A$1,W$1)"),"मानव शरीर रचना विज्ञान")</f>
        <v>मानव शरीर रचना विज्ञान</v>
      </c>
      <c r="CK28" s="21" t="str">
        <f ca="1">IFERROR(__xludf.DUMMYFUNCTION("GOOGLETRANSLATE($A24,A$1,X$1)"),"آناتومی انسان")</f>
        <v>آناتومی انسان</v>
      </c>
      <c r="CL28" s="21" t="str">
        <f ca="1">IFERROR(__xludf.DUMMYFUNCTION("GOOGLETRANSLATE($A24,A$1,Y$1)"),"علم التشريح البشري")</f>
        <v>علم التشريح البشري</v>
      </c>
      <c r="CM28" s="21" t="str">
        <f ca="1">IFERROR(__xludf.DUMMYFUNCTION("GOOGLETRANSLATE($A24,A$1,Z$1)"),"insan anatomisi")</f>
        <v>insan anatomisi</v>
      </c>
      <c r="CN28" t="s">
        <v>534</v>
      </c>
      <c r="CQ28" s="21" t="str">
        <f ca="1">IFERROR(__xludf.DUMMYFUNCTION("GOOGLETRANSLATE($A24,A$1,AD$1)"),"anatomija čovjeka")</f>
        <v>anatomija čovjeka</v>
      </c>
      <c r="CR28" s="21" t="str">
        <f ca="1">IFERROR(__xludf.DUMMYFUNCTION("GOOGLETRANSLATE($A24,A$1,AE$1)"),"인체 해부학")</f>
        <v>인체 해부학</v>
      </c>
      <c r="CS28" s="21" t="str">
        <f ca="1">IFERROR(__xludf.DUMMYFUNCTION("GOOGLETRANSLATE($A24,B$1,AF$1)"),"אנטומיה אנושית")</f>
        <v>אנטומיה אנושית</v>
      </c>
    </row>
    <row r="29" spans="3:97" ht="15.75">
      <c r="C29" t="s">
        <v>535</v>
      </c>
      <c r="D29" t="s">
        <v>536</v>
      </c>
      <c r="E29" t="s">
        <v>537</v>
      </c>
      <c r="F29" s="19" t="str">
        <f ca="1">IFERROR(__xludf.DUMMYFUNCTION("GOOGLETRANSLATE($A25,A$1,B$1)"),"im besten Detail analysieren")</f>
        <v>im besten Detail analysieren</v>
      </c>
      <c r="K29" s="25" t="s">
        <v>208</v>
      </c>
      <c r="L29" t="s">
        <v>209</v>
      </c>
      <c r="M29" s="26" t="s">
        <v>719</v>
      </c>
      <c r="N29" s="25" t="s">
        <v>538</v>
      </c>
      <c r="O29" t="s">
        <v>539</v>
      </c>
      <c r="P29" s="26" t="s">
        <v>732</v>
      </c>
      <c r="Q29" s="25" t="s">
        <v>192</v>
      </c>
      <c r="R29" t="s">
        <v>193</v>
      </c>
      <c r="S29" s="26" t="s">
        <v>713</v>
      </c>
      <c r="T29" s="25" t="s">
        <v>540</v>
      </c>
      <c r="U29" t="s">
        <v>541</v>
      </c>
      <c r="V29" s="26"/>
      <c r="W29" s="25" t="s">
        <v>0</v>
      </c>
      <c r="Y29" s="26"/>
      <c r="Z29" s="25"/>
      <c r="AB29" s="26"/>
      <c r="BN29" s="24" t="s">
        <v>542</v>
      </c>
      <c r="BO29" s="21" t="str">
        <f ca="1">IFERROR(__xludf.DUMMYFUNCTION("GOOGLETRANSLATE($A25,A$1,B$1)"),"im besten Detail analysieren")</f>
        <v>im besten Detail analysieren</v>
      </c>
      <c r="BP29" s="21" t="str">
        <f ca="1">IFERROR(__xludf.DUMMYFUNCTION("GOOGLETRANSLATE($A25,A$1,C$1)"),"om te analyseren in het beste detail")</f>
        <v>om te analyseren in het beste detail</v>
      </c>
      <c r="BQ29" s="21" t="str">
        <f ca="1">IFERROR(__xludf.DUMMYFUNCTION("GOOGLETRANSLATE($A25,A$1,D$1)"),"анализировать лучшие детали")</f>
        <v>анализировать лучшие детали</v>
      </c>
      <c r="BR29" t="s">
        <v>543</v>
      </c>
      <c r="BS29" s="22" t="str">
        <f ca="1">IFERROR(__xludf.DUMMYFUNCTION("GOOGLETRANSLATE($A25,A$1,F$1)"),"analizować w najlepszych szczegółach")</f>
        <v>analizować w najlepszych szczegółach</v>
      </c>
      <c r="BT29" s="21" t="str">
        <f ca="1">IFERROR(__xludf.DUMMYFUNCTION("GOOGLETRANSLATE($A25,A$1,G$1)"),"Analyzovat v nejlepších detailech")</f>
        <v>Analyzovat v nejlepších detailech</v>
      </c>
      <c r="BU29" s="21" t="str">
        <f ca="1">IFERROR(__xludf.DUMMYFUNCTION("GOOGLETRANSLATE($A25,A$1,H$1)"),"analyzovať v najlepších detailoch")</f>
        <v>analyzovať v najlepších detailoch</v>
      </c>
      <c r="BV29" t="s">
        <v>544</v>
      </c>
      <c r="BW29" t="s">
        <v>545</v>
      </c>
      <c r="BX29" t="s">
        <v>546</v>
      </c>
      <c r="BY29" t="s">
        <v>547</v>
      </c>
      <c r="BZ29" t="s">
        <v>548</v>
      </c>
      <c r="CA29" t="s">
        <v>549</v>
      </c>
      <c r="CB29" s="21" t="str">
        <f ca="1">IFERROR(__xludf.DUMMYFUNCTION("GOOGLETRANSLATE($A25,A$1,O$1)"),"Για να αναλύσετε τις καλύτερες λεπτομέρειες")</f>
        <v>Για να αναλύσετε τις καλύτερες λεπτομέρειες</v>
      </c>
      <c r="CC29" s="21" t="str">
        <f ca="1">IFERROR(__xludf.DUMMYFUNCTION("GOOGLETRANSLATE($A25,A$1,P$1)"),"Pour analyser dans les meilleurs détails")</f>
        <v>Pour analyser dans les meilleurs détails</v>
      </c>
      <c r="CD29" s="21" t="str">
        <f ca="1">IFERROR(__xludf.DUMMYFUNCTION("GOOGLETRANSLATE($A25,A$1,Q$1)"),"analisar nos melhores detalhes")</f>
        <v>analisar nos melhores detalhes</v>
      </c>
      <c r="CE29" s="21" t="str">
        <f ca="1">IFERROR(__xludf.DUMMYFUNCTION("GOOGLETRANSLATE($A25,A$1,R$1)"),"per analizzare i migliori dettagli")</f>
        <v>per analizzare i migliori dettagli</v>
      </c>
      <c r="CF29" s="21" t="str">
        <f ca="1">IFERROR(__xludf.DUMMYFUNCTION("GOOGLETRANSLATE($A25,A$1,S$1)"),"Pentru a analiza în cele mai bune detalii")</f>
        <v>Pentru a analiza în cele mai bune detalii</v>
      </c>
      <c r="CG29" t="s">
        <v>550</v>
      </c>
      <c r="CH29" t="s">
        <v>551</v>
      </c>
      <c r="CI29" s="23" t="str">
        <f ca="1">IFERROR(__xludf.DUMMYFUNCTION("GOOGLETRANSLATE($A25,A$1,V$1)"),"เพื่อวิเคราะห์รายละเอียดที่ดีที่สุด")</f>
        <v>เพื่อวิเคราะห์รายละเอียดที่ดีที่สุด</v>
      </c>
      <c r="CJ29" s="21" t="str">
        <f ca="1">IFERROR(__xludf.DUMMYFUNCTION("GOOGLETRANSLATE($A25,A$1,W$1)"),"बेहतरीन विवरण में विश्लेषण करने के लिए")</f>
        <v>बेहतरीन विवरण में विश्लेषण करने के लिए</v>
      </c>
      <c r="CK29" s="21" t="str">
        <f ca="1">IFERROR(__xludf.DUMMYFUNCTION("GOOGLETRANSLATE($A25,A$1,X$1)"),"برای تجزیه و تحلیل در بهترین جزئیات")</f>
        <v>برای تجزیه و تحلیل در بهترین جزئیات</v>
      </c>
      <c r="CL29" s="21" t="str">
        <f ca="1">IFERROR(__xludf.DUMMYFUNCTION("GOOGLETRANSLATE($A25,A$1,Y$1)"),"للتحليل في أفضل التفاصيل")</f>
        <v>للتحليل في أفضل التفاصيل</v>
      </c>
      <c r="CM29" s="21" t="str">
        <f ca="1">IFERROR(__xludf.DUMMYFUNCTION("GOOGLETRANSLATE($A25,A$1,Z$1)"),"en iyi ayrıntıyı analiz etmek")</f>
        <v>en iyi ayrıntıyı analiz etmek</v>
      </c>
      <c r="CN29" t="s">
        <v>552</v>
      </c>
      <c r="CQ29" s="21" t="str">
        <f ca="1">IFERROR(__xludf.DUMMYFUNCTION("GOOGLETRANSLATE($A25,A$1,AD$1)"),"analizirati u najboljem detalju")</f>
        <v>analizirati u najboljem detalju</v>
      </c>
      <c r="CR29" s="21" t="str">
        <f ca="1">IFERROR(__xludf.DUMMYFUNCTION("GOOGLETRANSLATE($A25,A$1,AE$1)"),"최고의 세부 사항으로 분석합니다")</f>
        <v>최고의 세부 사항으로 분석합니다</v>
      </c>
      <c r="CS29" s="21" t="str">
        <f ca="1">IFERROR(__xludf.DUMMYFUNCTION("GOOGLETRANSLATE($A25,B$1,AF$1)"),"לנתח בפרט הטוב ביותר")</f>
        <v>לנתח בפרט הטוב ביותר</v>
      </c>
    </row>
    <row r="30" spans="3:97" ht="15.75">
      <c r="C30" t="s">
        <v>553</v>
      </c>
      <c r="D30" t="s">
        <v>554</v>
      </c>
      <c r="E30" t="s">
        <v>555</v>
      </c>
      <c r="F30" s="19" t="str">
        <f ca="1">IFERROR(__xludf.DUMMYFUNCTION("GOOGLETRANSLATE($A26,A$1,B$1)"),"Dissektion eines Spatzes")</f>
        <v>Dissektion eines Spatzes</v>
      </c>
      <c r="K30" s="25" t="s">
        <v>224</v>
      </c>
      <c r="L30" t="s">
        <v>225</v>
      </c>
      <c r="M30" s="26" t="s">
        <v>714</v>
      </c>
      <c r="N30" s="25" t="s">
        <v>192</v>
      </c>
      <c r="O30" t="s">
        <v>193</v>
      </c>
      <c r="P30" s="26" t="s">
        <v>713</v>
      </c>
      <c r="Q30" s="25" t="s">
        <v>556</v>
      </c>
      <c r="R30" t="s">
        <v>557</v>
      </c>
      <c r="S30" s="26" t="s">
        <v>743</v>
      </c>
      <c r="T30" s="25" t="s">
        <v>558</v>
      </c>
      <c r="U30" t="s">
        <v>559</v>
      </c>
      <c r="V30" s="26"/>
      <c r="W30" s="25" t="s">
        <v>0</v>
      </c>
      <c r="Y30" s="26"/>
      <c r="Z30" s="25"/>
      <c r="AB30" s="26"/>
      <c r="BN30" s="24" t="s">
        <v>560</v>
      </c>
      <c r="BO30" s="21" t="str">
        <f ca="1">IFERROR(__xludf.DUMMYFUNCTION("GOOGLETRANSLATE($A26,A$1,B$1)"),"Dissektion eines Spatzes")</f>
        <v>Dissektion eines Spatzes</v>
      </c>
      <c r="BP30" s="21" t="str">
        <f ca="1">IFERROR(__xludf.DUMMYFUNCTION("GOOGLETRANSLATE($A26,A$1,C$1)"),"Dissectie van een mus")</f>
        <v>Dissectie van een mus</v>
      </c>
      <c r="BQ30" s="21" t="str">
        <f ca="1">IFERROR(__xludf.DUMMYFUNCTION("GOOGLETRANSLATE($A26,A$1,D$1)"),"Рассечение воробья")</f>
        <v>Рассечение воробья</v>
      </c>
      <c r="BR30" t="s">
        <v>561</v>
      </c>
      <c r="BS30" s="22" t="str">
        <f ca="1">IFERROR(__xludf.DUMMYFUNCTION("GOOGLETRANSLATE($A26,A$1,F$1)"),"Rozwarstwienie wróbla")</f>
        <v>Rozwarstwienie wróbla</v>
      </c>
      <c r="BT30" s="21" t="str">
        <f ca="1">IFERROR(__xludf.DUMMYFUNCTION("GOOGLETRANSLATE($A26,A$1,G$1)"),"Disekci vrabce")</f>
        <v>Disekci vrabce</v>
      </c>
      <c r="BU30" s="21" t="str">
        <f ca="1">IFERROR(__xludf.DUMMYFUNCTION("GOOGLETRANSLATE($A26,A$1,H$1)"),"Pitva vrabca")</f>
        <v>Pitva vrabca</v>
      </c>
      <c r="BV30" t="s">
        <v>562</v>
      </c>
      <c r="BW30" t="s">
        <v>563</v>
      </c>
      <c r="BX30" t="s">
        <v>564</v>
      </c>
      <c r="BY30" t="s">
        <v>565</v>
      </c>
      <c r="BZ30" t="s">
        <v>566</v>
      </c>
      <c r="CA30" t="s">
        <v>567</v>
      </c>
      <c r="CB30" s="21" t="str">
        <f ca="1">IFERROR(__xludf.DUMMYFUNCTION("GOOGLETRANSLATE($A26,A$1,O$1)"),"Ανατομή ενός σπουργίτι")</f>
        <v>Ανατομή ενός σπουργίτι</v>
      </c>
      <c r="CC30" s="21" t="str">
        <f ca="1">IFERROR(__xludf.DUMMYFUNCTION("GOOGLETRANSLATE($A26,A$1,P$1)"),"Dissection d'un moineau")</f>
        <v>Dissection d'un moineau</v>
      </c>
      <c r="CD30" s="21" t="str">
        <f ca="1">IFERROR(__xludf.DUMMYFUNCTION("GOOGLETRANSLATE($A26,A$1,Q$1)"),"Dissecção de um pardal")</f>
        <v>Dissecção de um pardal</v>
      </c>
      <c r="CE30" s="21" t="str">
        <f ca="1">IFERROR(__xludf.DUMMYFUNCTION("GOOGLETRANSLATE($A26,A$1,R$1)"),"Dissezione di un passero")</f>
        <v>Dissezione di un passero</v>
      </c>
      <c r="CF30" s="21" t="str">
        <f ca="1">IFERROR(__xludf.DUMMYFUNCTION("GOOGLETRANSLATE($A26,A$1,S$1)"),"Disecția unei vrabie")</f>
        <v>Disecția unei vrabie</v>
      </c>
      <c r="CG30" t="s">
        <v>568</v>
      </c>
      <c r="CH30" t="s">
        <v>569</v>
      </c>
      <c r="CI30" s="23" t="str">
        <f ca="1">IFERROR(__xludf.DUMMYFUNCTION("GOOGLETRANSLATE($A26,A$1,V$1)"),"การแยกนกกระจอก")</f>
        <v>การแยกนกกระจอก</v>
      </c>
      <c r="CJ30" s="21" t="str">
        <f ca="1">IFERROR(__xludf.DUMMYFUNCTION("GOOGLETRANSLATE($A26,A$1,W$1)"),"एक गौरैया का विच्छेदन")</f>
        <v>एक गौरैया का विच्छेदन</v>
      </c>
      <c r="CK30" s="21" t="str">
        <f ca="1">IFERROR(__xludf.DUMMYFUNCTION("GOOGLETRANSLATE($A26,A$1,X$1)"),"برش یک گنجشک")</f>
        <v>برش یک گنجشک</v>
      </c>
      <c r="CL30" s="21" t="str">
        <f ca="1">IFERROR(__xludf.DUMMYFUNCTION("GOOGLETRANSLATE($A26,A$1,Y$1)"),"تشريح عصفور")</f>
        <v>تشريح عصفور</v>
      </c>
      <c r="CM30" s="21" t="str">
        <f ca="1">IFERROR(__xludf.DUMMYFUNCTION("GOOGLETRANSLATE($A26,A$1,Z$1)"),"Bir Serçe Diseksiyonu")</f>
        <v>Bir Serçe Diseksiyonu</v>
      </c>
      <c r="CN30" t="s">
        <v>570</v>
      </c>
      <c r="CQ30" s="21" t="str">
        <f ca="1">IFERROR(__xludf.DUMMYFUNCTION("GOOGLETRANSLATE($A26,A$1,AD$1)"),"Disekcija vrapca")</f>
        <v>Disekcija vrapca</v>
      </c>
      <c r="CR30" s="21" t="str">
        <f ca="1">IFERROR(__xludf.DUMMYFUNCTION("GOOGLETRANSLATE($A26,A$1,AE$1)"),"참새의 해부")</f>
        <v>참새의 해부</v>
      </c>
      <c r="CS30" s="21" t="str">
        <f ca="1">IFERROR(__xludf.DUMMYFUNCTION("GOOGLETRANSLATE($A26,B$1,AF$1)"),"ניתוק דרור")</f>
        <v>ניתוק דרור</v>
      </c>
    </row>
    <row r="31" spans="3:97" ht="15.75">
      <c r="C31" t="s">
        <v>571</v>
      </c>
      <c r="D31" t="s">
        <v>572</v>
      </c>
      <c r="E31" t="s">
        <v>573</v>
      </c>
      <c r="F31" s="19" t="str">
        <f ca="1">IFERROR(__xludf.DUMMYFUNCTION("GOOGLETRANSLATE($A27,A$1,B$1)"),"Kaiserschnitt -Abschnitt Betrieb")</f>
        <v>Kaiserschnitt -Abschnitt Betrieb</v>
      </c>
      <c r="K31" s="25" t="s">
        <v>192</v>
      </c>
      <c r="L31" t="s">
        <v>193</v>
      </c>
      <c r="M31" s="26" t="s">
        <v>713</v>
      </c>
      <c r="N31" s="25" t="s">
        <v>240</v>
      </c>
      <c r="O31" t="s">
        <v>241</v>
      </c>
      <c r="P31" s="26" t="s">
        <v>724</v>
      </c>
      <c r="Q31" s="25" t="s">
        <v>242</v>
      </c>
      <c r="R31" t="s">
        <v>243</v>
      </c>
      <c r="S31" s="26" t="s">
        <v>736</v>
      </c>
      <c r="T31" s="25" t="s">
        <v>574</v>
      </c>
      <c r="U31" t="s">
        <v>575</v>
      </c>
      <c r="V31" s="26"/>
      <c r="W31" s="25" t="s">
        <v>576</v>
      </c>
      <c r="X31" t="s">
        <v>577</v>
      </c>
      <c r="Y31" s="26"/>
      <c r="Z31" s="25" t="s">
        <v>0</v>
      </c>
      <c r="AB31" s="26"/>
      <c r="BN31" s="24" t="s">
        <v>578</v>
      </c>
      <c r="BO31" s="21" t="str">
        <f ca="1">IFERROR(__xludf.DUMMYFUNCTION("GOOGLETRANSLATE($A27,A$1,B$1)"),"Kaiserschnitt -Abschnitt Betrieb")</f>
        <v>Kaiserschnitt -Abschnitt Betrieb</v>
      </c>
      <c r="BP31" s="21" t="str">
        <f ca="1">IFERROR(__xludf.DUMMYFUNCTION("GOOGLETRANSLATE($A27,A$1,C$1)"),"Keizerse sectie -werking")</f>
        <v>Keizerse sectie -werking</v>
      </c>
      <c r="BQ31" s="21" t="str">
        <f ca="1">IFERROR(__xludf.DUMMYFUNCTION("GOOGLETRANSLATE($A27,A$1,D$1)"),"Кесарево сечение")</f>
        <v>Кесарево сечение</v>
      </c>
      <c r="BR31" t="s">
        <v>579</v>
      </c>
      <c r="BS31" s="22" t="str">
        <f ca="1">IFERROR(__xludf.DUMMYFUNCTION("GOOGLETRANSLATE($A27,A$1,F$1)"),"Operacja sekcji cesarskiej")</f>
        <v>Operacja sekcji cesarskiej</v>
      </c>
      <c r="BT31" s="21" t="str">
        <f ca="1">IFERROR(__xludf.DUMMYFUNCTION("GOOGLETRANSLATE($A27,A$1,G$1)"),"Provoz Cesaan Section")</f>
        <v>Provoz Cesaan Section</v>
      </c>
      <c r="BU31" s="21" t="str">
        <f ca="1">IFERROR(__xludf.DUMMYFUNCTION("GOOGLETRANSLATE($A27,A$1,H$1)"),"Cisárska sekcia prevádzka")</f>
        <v>Cisárska sekcia prevádzka</v>
      </c>
      <c r="BV31" t="s">
        <v>580</v>
      </c>
      <c r="BW31" t="s">
        <v>581</v>
      </c>
      <c r="BX31" t="s">
        <v>582</v>
      </c>
      <c r="BY31" t="s">
        <v>583</v>
      </c>
      <c r="BZ31" t="s">
        <v>584</v>
      </c>
      <c r="CA31" t="s">
        <v>585</v>
      </c>
      <c r="CB31" s="21" t="str">
        <f ca="1">IFERROR(__xludf.DUMMYFUNCTION("GOOGLETRANSLATE($A27,A$1,O$1)"),"Λειτουργία καισαρικής τομής")</f>
        <v>Λειτουργία καισαρικής τομής</v>
      </c>
      <c r="CC31" s="21" t="str">
        <f ca="1">IFERROR(__xludf.DUMMYFUNCTION("GOOGLETRANSLATE($A27,A$1,P$1)"),"Opération de section césarienne")</f>
        <v>Opération de section césarienne</v>
      </c>
      <c r="CD31" s="21" t="str">
        <f ca="1">IFERROR(__xludf.DUMMYFUNCTION("GOOGLETRANSLATE($A27,A$1,Q$1)"),"Operação de seção cesariana")</f>
        <v>Operação de seção cesariana</v>
      </c>
      <c r="CE31" s="21" t="str">
        <f ca="1">IFERROR(__xludf.DUMMYFUNCTION("GOOGLETRANSLATE($A27,A$1,R$1)"),"Operazione di sezione cesarea")</f>
        <v>Operazione di sezione cesarea</v>
      </c>
      <c r="CF31" s="21" t="str">
        <f ca="1">IFERROR(__xludf.DUMMYFUNCTION("GOOGLETRANSLATE($A27,A$1,S$1)"),"Funcționarea secțiunii de cezariană")</f>
        <v>Funcționarea secțiunii de cezariană</v>
      </c>
      <c r="CG31" t="s">
        <v>586</v>
      </c>
      <c r="CH31" t="s">
        <v>587</v>
      </c>
      <c r="CI31" s="23" t="str">
        <f ca="1">IFERROR(__xludf.DUMMYFUNCTION("GOOGLETRANSLATE($A27,A$1,V$1)"),"การผ่าตัดคลอด")</f>
        <v>การผ่าตัดคลอด</v>
      </c>
      <c r="CJ31" s="21" t="str">
        <f ca="1">IFERROR(__xludf.DUMMYFUNCTION("GOOGLETRANSLATE($A27,A$1,W$1)"),"सिजेरियन सेक्शन ऑपरेशन")</f>
        <v>सिजेरियन सेक्शन ऑपरेशन</v>
      </c>
      <c r="CK31" s="21" t="str">
        <f ca="1">IFERROR(__xludf.DUMMYFUNCTION("GOOGLETRANSLATE($A27,A$1,X$1)"),"عملیات سزارین")</f>
        <v>عملیات سزارین</v>
      </c>
      <c r="CL31" s="21" t="str">
        <f ca="1">IFERROR(__xludf.DUMMYFUNCTION("GOOGLETRANSLATE($A27,A$1,Y$1)"),"عملية القسم القيصري")</f>
        <v>عملية القسم القيصري</v>
      </c>
      <c r="CM31" s="21" t="str">
        <f ca="1">IFERROR(__xludf.DUMMYFUNCTION("GOOGLETRANSLATE($A27,A$1,Z$1)"),"Sezaryen Bölüm Operasyonu")</f>
        <v>Sezaryen Bölüm Operasyonu</v>
      </c>
      <c r="CN31" t="s">
        <v>588</v>
      </c>
      <c r="CQ31" s="21" t="str">
        <f ca="1">IFERROR(__xludf.DUMMYFUNCTION("GOOGLETRANSLATE($A27,A$1,AD$1)"),"Operacija carskog reza")</f>
        <v>Operacija carskog reza</v>
      </c>
      <c r="CR31" s="21" t="str">
        <f ca="1">IFERROR(__xludf.DUMMYFUNCTION("GOOGLETRANSLATE($A27,A$1,AE$1)"),"제왕 절개 섹션 작전")</f>
        <v>제왕 절개 섹션 작전</v>
      </c>
      <c r="CS31" s="21" t="str">
        <f ca="1">IFERROR(__xludf.DUMMYFUNCTION("GOOGLETRANSLATE($A27,B$1,AF$1)"),"מבצע ניתוח קיסרי")</f>
        <v>מבצע ניתוח קיסרי</v>
      </c>
    </row>
    <row r="32" spans="3:97" ht="15.75">
      <c r="C32" t="s">
        <v>589</v>
      </c>
      <c r="D32" t="s">
        <v>590</v>
      </c>
      <c r="E32" t="s">
        <v>573</v>
      </c>
      <c r="F32" s="19" t="str">
        <f ca="1">IFERROR(__xludf.DUMMYFUNCTION("GOOGLETRANSLATE($A28,A$1,B$1)"),"Kaiserschnitt -Abschnitt Betrieb")</f>
        <v>Kaiserschnitt -Abschnitt Betrieb</v>
      </c>
      <c r="K32" s="25" t="s">
        <v>192</v>
      </c>
      <c r="L32" t="s">
        <v>193</v>
      </c>
      <c r="M32" s="26" t="s">
        <v>713</v>
      </c>
      <c r="N32" s="25" t="s">
        <v>273</v>
      </c>
      <c r="O32" t="s">
        <v>274</v>
      </c>
      <c r="P32" s="26" t="s">
        <v>726</v>
      </c>
      <c r="Q32" s="25" t="s">
        <v>242</v>
      </c>
      <c r="R32" t="s">
        <v>243</v>
      </c>
      <c r="S32" s="26" t="s">
        <v>736</v>
      </c>
      <c r="T32" s="25" t="s">
        <v>574</v>
      </c>
      <c r="U32" t="s">
        <v>575</v>
      </c>
      <c r="V32" s="26"/>
      <c r="W32" s="25" t="s">
        <v>576</v>
      </c>
      <c r="X32" t="s">
        <v>577</v>
      </c>
      <c r="Y32" s="26"/>
      <c r="Z32" s="25" t="s">
        <v>0</v>
      </c>
      <c r="AB32" s="26"/>
      <c r="BN32" s="24" t="s">
        <v>578</v>
      </c>
      <c r="BO32" s="21" t="str">
        <f ca="1">IFERROR(__xludf.DUMMYFUNCTION("GOOGLETRANSLATE($A28,A$1,B$1)"),"Kaiserschnitt -Abschnitt Betrieb")</f>
        <v>Kaiserschnitt -Abschnitt Betrieb</v>
      </c>
      <c r="BP32" s="21" t="str">
        <f ca="1">IFERROR(__xludf.DUMMYFUNCTION("GOOGLETRANSLATE($A28,A$1,C$1)"),"Keizerse sectie -werking")</f>
        <v>Keizerse sectie -werking</v>
      </c>
      <c r="BQ32" s="21" t="str">
        <f ca="1">IFERROR(__xludf.DUMMYFUNCTION("GOOGLETRANSLATE($A28,A$1,D$1)"),"Кесарево сечение")</f>
        <v>Кесарево сечение</v>
      </c>
      <c r="BR32" t="s">
        <v>579</v>
      </c>
      <c r="BS32" s="22" t="str">
        <f ca="1">IFERROR(__xludf.DUMMYFUNCTION("GOOGLETRANSLATE($A28,A$1,F$1)"),"Operacja sekcji cesarskiej")</f>
        <v>Operacja sekcji cesarskiej</v>
      </c>
      <c r="BT32" s="21" t="str">
        <f ca="1">IFERROR(__xludf.DUMMYFUNCTION("GOOGLETRANSLATE($A28,A$1,G$1)"),"Provoz Cesaan Section")</f>
        <v>Provoz Cesaan Section</v>
      </c>
      <c r="BU32" s="21" t="str">
        <f ca="1">IFERROR(__xludf.DUMMYFUNCTION("GOOGLETRANSLATE($A28,A$1,H$1)"),"Cisárska sekcia prevádzka")</f>
        <v>Cisárska sekcia prevádzka</v>
      </c>
      <c r="BV32" t="s">
        <v>591</v>
      </c>
      <c r="BW32" t="s">
        <v>581</v>
      </c>
      <c r="BX32" t="s">
        <v>592</v>
      </c>
      <c r="BY32" t="s">
        <v>583</v>
      </c>
      <c r="BZ32" t="s">
        <v>250</v>
      </c>
      <c r="CA32" t="s">
        <v>585</v>
      </c>
      <c r="CB32" s="21" t="str">
        <f ca="1">IFERROR(__xludf.DUMMYFUNCTION("GOOGLETRANSLATE($A28,A$1,O$1)"),"Λειτουργία καισαρικής τομής")</f>
        <v>Λειτουργία καισαρικής τομής</v>
      </c>
      <c r="CC32" s="21" t="str">
        <f ca="1">IFERROR(__xludf.DUMMYFUNCTION("GOOGLETRANSLATE($A28,A$1,P$1)"),"Opération de section césarienne")</f>
        <v>Opération de section césarienne</v>
      </c>
      <c r="CD32" s="21" t="str">
        <f ca="1">IFERROR(__xludf.DUMMYFUNCTION("GOOGLETRANSLATE($A28,A$1,Q$1)"),"Operação de seção cesariana")</f>
        <v>Operação de seção cesariana</v>
      </c>
      <c r="CE32" s="21" t="str">
        <f ca="1">IFERROR(__xludf.DUMMYFUNCTION("GOOGLETRANSLATE($A28,A$1,R$1)"),"Operazione di sezione cesarea")</f>
        <v>Operazione di sezione cesarea</v>
      </c>
      <c r="CF32" s="21" t="str">
        <f ca="1">IFERROR(__xludf.DUMMYFUNCTION("GOOGLETRANSLATE($A28,A$1,S$1)"),"Funcționarea secțiunii de cezariană")</f>
        <v>Funcționarea secțiunii de cezariană</v>
      </c>
      <c r="CG32" t="s">
        <v>593</v>
      </c>
      <c r="CH32" t="s">
        <v>587</v>
      </c>
      <c r="CI32" s="23" t="str">
        <f ca="1">IFERROR(__xludf.DUMMYFUNCTION("GOOGLETRANSLATE($A28,A$1,V$1)"),"การผ่าตัดคลอด")</f>
        <v>การผ่าตัดคลอด</v>
      </c>
      <c r="CJ32" s="21" t="str">
        <f ca="1">IFERROR(__xludf.DUMMYFUNCTION("GOOGLETRANSLATE($A28,A$1,W$1)"),"सिजेरियन सेक्शन ऑपरेशन")</f>
        <v>सिजेरियन सेक्शन ऑपरेशन</v>
      </c>
      <c r="CK32" s="21" t="str">
        <f ca="1">IFERROR(__xludf.DUMMYFUNCTION("GOOGLETRANSLATE($A28,A$1,X$1)"),"عملیات سزارین")</f>
        <v>عملیات سزارین</v>
      </c>
      <c r="CL32" s="21" t="str">
        <f ca="1">IFERROR(__xludf.DUMMYFUNCTION("GOOGLETRANSLATE($A28,A$1,Y$1)"),"عملية القسم القيصري")</f>
        <v>عملية القسم القيصري</v>
      </c>
      <c r="CM32" s="21" t="str">
        <f ca="1">IFERROR(__xludf.DUMMYFUNCTION("GOOGLETRANSLATE($A28,A$1,Z$1)"),"Sezaryen Bölüm Operasyonu")</f>
        <v>Sezaryen Bölüm Operasyonu</v>
      </c>
      <c r="CN32" t="s">
        <v>588</v>
      </c>
      <c r="CQ32" s="21" t="str">
        <f ca="1">IFERROR(__xludf.DUMMYFUNCTION("GOOGLETRANSLATE($A28,A$1,AD$1)"),"Operacija carskog reza")</f>
        <v>Operacija carskog reza</v>
      </c>
      <c r="CR32" s="21" t="str">
        <f ca="1">IFERROR(__xludf.DUMMYFUNCTION("GOOGLETRANSLATE($A28,A$1,AE$1)"),"제왕 절개 섹션 작전")</f>
        <v>제왕 절개 섹션 작전</v>
      </c>
      <c r="CS32" s="21" t="str">
        <f ca="1">IFERROR(__xludf.DUMMYFUNCTION("GOOGLETRANSLATE($A28,B$1,AF$1)"),"מבצע ניתוח קיסרי")</f>
        <v>מבצע ניתוח קיסרי</v>
      </c>
    </row>
    <row r="33" spans="3:97" ht="15.75">
      <c r="C33" t="s">
        <v>594</v>
      </c>
      <c r="D33" t="s">
        <v>595</v>
      </c>
      <c r="E33" t="s">
        <v>521</v>
      </c>
      <c r="F33" s="19" t="str">
        <f ca="1">IFERROR(__xludf.DUMMYFUNCTION("GOOGLETRANSLATE($A29,A$1,B$1)"),"menschliche Anatomie")</f>
        <v>menschliche Anatomie</v>
      </c>
      <c r="K33" s="25" t="s">
        <v>522</v>
      </c>
      <c r="L33" t="s">
        <v>523</v>
      </c>
      <c r="M33" s="26" t="s">
        <v>718</v>
      </c>
      <c r="N33" s="25" t="s">
        <v>437</v>
      </c>
      <c r="O33" t="s">
        <v>438</v>
      </c>
      <c r="P33" s="26" t="s">
        <v>730</v>
      </c>
      <c r="Q33" s="25" t="s">
        <v>224</v>
      </c>
      <c r="R33" t="s">
        <v>225</v>
      </c>
      <c r="S33" s="26" t="s">
        <v>714</v>
      </c>
      <c r="T33" s="25" t="s">
        <v>192</v>
      </c>
      <c r="U33" t="s">
        <v>193</v>
      </c>
      <c r="V33" s="26"/>
      <c r="W33" s="25" t="s">
        <v>423</v>
      </c>
      <c r="X33" t="s">
        <v>424</v>
      </c>
      <c r="Y33" s="26"/>
      <c r="Z33" s="25" t="s">
        <v>0</v>
      </c>
      <c r="AB33" s="26"/>
      <c r="BN33" s="24" t="s">
        <v>524</v>
      </c>
      <c r="BO33" s="21" t="str">
        <f ca="1">IFERROR(__xludf.DUMMYFUNCTION("GOOGLETRANSLATE($A29,A$1,B$1)"),"menschliche Anatomie")</f>
        <v>menschliche Anatomie</v>
      </c>
      <c r="BP33" s="21" t="str">
        <f ca="1">IFERROR(__xludf.DUMMYFUNCTION("GOOGLETRANSLATE($A29,A$1,C$1)"),"menselijke anatomie")</f>
        <v>menselijke anatomie</v>
      </c>
      <c r="BQ33" s="21" t="str">
        <f ca="1">IFERROR(__xludf.DUMMYFUNCTION("GOOGLETRANSLATE($A29,A$1,D$1)"),"Анатомия человека")</f>
        <v>Анатомия человека</v>
      </c>
      <c r="BR33" t="s">
        <v>525</v>
      </c>
      <c r="BS33" s="22" t="str">
        <f ca="1">IFERROR(__xludf.DUMMYFUNCTION("GOOGLETRANSLATE($A29,A$1,F$1)"),"Anatomia człowieka")</f>
        <v>Anatomia człowieka</v>
      </c>
      <c r="BT33" s="21" t="str">
        <f ca="1">IFERROR(__xludf.DUMMYFUNCTION("GOOGLETRANSLATE($A29,A$1,G$1)"),"anatomie člověka")</f>
        <v>anatomie člověka</v>
      </c>
      <c r="BU33" s="21" t="str">
        <f ca="1">IFERROR(__xludf.DUMMYFUNCTION("GOOGLETRANSLATE($A29,A$1,H$1)"),"ľudská anatómia")</f>
        <v>ľudská anatómia</v>
      </c>
      <c r="BV33" t="s">
        <v>526</v>
      </c>
      <c r="BW33" t="s">
        <v>527</v>
      </c>
      <c r="BX33" t="s">
        <v>528</v>
      </c>
      <c r="BY33" t="s">
        <v>529</v>
      </c>
      <c r="BZ33" t="s">
        <v>530</v>
      </c>
      <c r="CA33" t="s">
        <v>531</v>
      </c>
      <c r="CB33" s="21" t="str">
        <f ca="1">IFERROR(__xludf.DUMMYFUNCTION("GOOGLETRANSLATE($A29,A$1,O$1)"),"ανθρώπινη ανατομία")</f>
        <v>ανθρώπινη ανατομία</v>
      </c>
      <c r="CC33" s="21" t="str">
        <f ca="1">IFERROR(__xludf.DUMMYFUNCTION("GOOGLETRANSLATE($A29,A$1,P$1)"),"anatomie humaine")</f>
        <v>anatomie humaine</v>
      </c>
      <c r="CD33" s="21" t="str">
        <f ca="1">IFERROR(__xludf.DUMMYFUNCTION("GOOGLETRANSLATE($A29,A$1,Q$1)"),"anatomia humana")</f>
        <v>anatomia humana</v>
      </c>
      <c r="CE33" s="21" t="str">
        <f ca="1">IFERROR(__xludf.DUMMYFUNCTION("GOOGLETRANSLATE($A29,A$1,R$1)"),"anatomia umana")</f>
        <v>anatomia umana</v>
      </c>
      <c r="CF33" s="21" t="str">
        <f ca="1">IFERROR(__xludf.DUMMYFUNCTION("GOOGLETRANSLATE($A29,A$1,S$1)"),"Anatomia omului")</f>
        <v>Anatomia omului</v>
      </c>
      <c r="CG33" t="s">
        <v>532</v>
      </c>
      <c r="CH33" t="s">
        <v>533</v>
      </c>
      <c r="CI33" s="23" t="str">
        <f ca="1">IFERROR(__xludf.DUMMYFUNCTION("GOOGLETRANSLATE($A29,A$1,V$1)"),"กายวิภาคศาสตร์ของมนุษย์")</f>
        <v>กายวิภาคศาสตร์ของมนุษย์</v>
      </c>
      <c r="CJ33" s="21" t="str">
        <f ca="1">IFERROR(__xludf.DUMMYFUNCTION("GOOGLETRANSLATE($A29,A$1,W$1)"),"मानव शरीर रचना विज्ञान")</f>
        <v>मानव शरीर रचना विज्ञान</v>
      </c>
      <c r="CK33" s="21" t="str">
        <f ca="1">IFERROR(__xludf.DUMMYFUNCTION("GOOGLETRANSLATE($A29,A$1,X$1)"),"آناتومی انسان")</f>
        <v>آناتومی انسان</v>
      </c>
      <c r="CL33" s="21" t="str">
        <f ca="1">IFERROR(__xludf.DUMMYFUNCTION("GOOGLETRANSLATE($A29,A$1,Y$1)"),"علم التشريح البشري")</f>
        <v>علم التشريح البشري</v>
      </c>
      <c r="CM33" s="21" t="str">
        <f ca="1">IFERROR(__xludf.DUMMYFUNCTION("GOOGLETRANSLATE($A29,A$1,Z$1)"),"insan anatomisi")</f>
        <v>insan anatomisi</v>
      </c>
      <c r="CN33" t="s">
        <v>534</v>
      </c>
      <c r="CQ33" s="21" t="str">
        <f ca="1">IFERROR(__xludf.DUMMYFUNCTION("GOOGLETRANSLATE($A29,A$1,AD$1)"),"anatomija čovjeka")</f>
        <v>anatomija čovjeka</v>
      </c>
      <c r="CR33" s="21" t="str">
        <f ca="1">IFERROR(__xludf.DUMMYFUNCTION("GOOGLETRANSLATE($A29,A$1,AE$1)"),"인체 해부학")</f>
        <v>인체 해부학</v>
      </c>
      <c r="CS33" s="21" t="str">
        <f ca="1">IFERROR(__xludf.DUMMYFUNCTION("GOOGLETRANSLATE($A29,B$1,AF$1)"),"אנטומיה אנושית")</f>
        <v>אנטומיה אנושית</v>
      </c>
    </row>
    <row r="34" spans="3:97" ht="15.75">
      <c r="C34" t="s">
        <v>596</v>
      </c>
      <c r="D34" t="s">
        <v>597</v>
      </c>
      <c r="E34" t="s">
        <v>598</v>
      </c>
      <c r="F34" s="19" t="str">
        <f ca="1">IFERROR(__xludf.DUMMYFUNCTION("GOOGLETRANSLATE($A30,A$1,B$1)"),"Grays Anatomie")</f>
        <v>Grays Anatomie</v>
      </c>
      <c r="K34" s="25" t="s">
        <v>599</v>
      </c>
      <c r="L34" t="s">
        <v>600</v>
      </c>
      <c r="M34" s="26" t="s">
        <v>720</v>
      </c>
      <c r="N34" s="25" t="s">
        <v>601</v>
      </c>
      <c r="O34" t="s">
        <v>602</v>
      </c>
      <c r="P34" s="26" t="s">
        <v>733</v>
      </c>
      <c r="Q34" s="25" t="s">
        <v>603</v>
      </c>
      <c r="R34" t="s">
        <v>604</v>
      </c>
      <c r="S34" s="26" t="s">
        <v>744</v>
      </c>
      <c r="T34" s="25" t="s">
        <v>224</v>
      </c>
      <c r="U34" t="s">
        <v>605</v>
      </c>
      <c r="V34" s="26"/>
      <c r="W34" s="25" t="s">
        <v>192</v>
      </c>
      <c r="X34" t="s">
        <v>193</v>
      </c>
      <c r="Y34" s="26"/>
      <c r="Z34" s="25" t="s">
        <v>423</v>
      </c>
      <c r="AA34" t="s">
        <v>424</v>
      </c>
      <c r="AB34" s="26"/>
      <c r="AC34" t="s">
        <v>0</v>
      </c>
      <c r="BN34" s="24" t="s">
        <v>606</v>
      </c>
      <c r="BO34" s="21" t="str">
        <f ca="1">IFERROR(__xludf.DUMMYFUNCTION("GOOGLETRANSLATE($A30,A$1,B$1)"),"Grays Anatomie")</f>
        <v>Grays Anatomie</v>
      </c>
      <c r="BP34" s="21" t="str">
        <f ca="1">IFERROR(__xludf.DUMMYFUNCTION("GOOGLETRANSLATE($A30,A$1,C$1)"),"Grey's Anatomy")</f>
        <v>Grey's Anatomy</v>
      </c>
      <c r="BQ34" s="21" t="str">
        <f ca="1">IFERROR(__xludf.DUMMYFUNCTION("GOOGLETRANSLATE($A30,A$1,D$1)"),"Анатомия Грея")</f>
        <v>Анатомия Грея</v>
      </c>
      <c r="BR34" t="s">
        <v>607</v>
      </c>
      <c r="BS34" s="22" t="str">
        <f ca="1">IFERROR(__xludf.DUMMYFUNCTION("GOOGLETRANSLATE($A30,A$1,F$1)"),"anatomia Greya")</f>
        <v>anatomia Greya</v>
      </c>
      <c r="BT34" s="21" t="str">
        <f ca="1">IFERROR(__xludf.DUMMYFUNCTION("GOOGLETRANSLATE($A30,A$1,G$1)"),"Greyova anatomie")</f>
        <v>Greyova anatomie</v>
      </c>
      <c r="BU34" s="21" t="str">
        <f ca="1">IFERROR(__xludf.DUMMYFUNCTION("GOOGLETRANSLATE($A30,A$1,H$1)"),"Grayova anatómia")</f>
        <v>Grayova anatómia</v>
      </c>
      <c r="BV34" t="s">
        <v>608</v>
      </c>
      <c r="BW34" t="s">
        <v>609</v>
      </c>
      <c r="BX34" t="s">
        <v>610</v>
      </c>
      <c r="BY34" t="s">
        <v>611</v>
      </c>
      <c r="BZ34" t="s">
        <v>612</v>
      </c>
      <c r="CA34" t="s">
        <v>613</v>
      </c>
      <c r="CB34" s="21" t="str">
        <f ca="1">IFERROR(__xludf.DUMMYFUNCTION("GOOGLETRANSLATE($A30,A$1,O$1)"),"Ανατομία του Γκρέι")</f>
        <v>Ανατομία του Γκρέι</v>
      </c>
      <c r="CC34" s="21" t="str">
        <f ca="1">IFERROR(__xludf.DUMMYFUNCTION("GOOGLETRANSLATE($A30,A$1,P$1)"),"Grey's Anatomy")</f>
        <v>Grey's Anatomy</v>
      </c>
      <c r="CD34" s="21" t="str">
        <f ca="1">IFERROR(__xludf.DUMMYFUNCTION("GOOGLETRANSLATE($A30,A$1,Q$1)"),"Anatomia de Gray")</f>
        <v>Anatomia de Gray</v>
      </c>
      <c r="CE34" s="21" t="str">
        <f ca="1">IFERROR(__xludf.DUMMYFUNCTION("GOOGLETRANSLATE($A30,A$1,R$1)"),"anatomia di Gray")</f>
        <v>anatomia di Gray</v>
      </c>
      <c r="CF34" s="21" t="str">
        <f ca="1">IFERROR(__xludf.DUMMYFUNCTION("GOOGLETRANSLATE($A30,A$1,S$1)"),"Anatomia lui Grey")</f>
        <v>Anatomia lui Grey</v>
      </c>
      <c r="CG34" t="s">
        <v>606</v>
      </c>
      <c r="CH34" t="s">
        <v>606</v>
      </c>
      <c r="CI34" s="23" t="str">
        <f ca="1">IFERROR(__xludf.DUMMYFUNCTION("GOOGLETRANSLATE($A30,A$1,V$1)"),"กายวิภาคของสีเทา")</f>
        <v>กายวิภาคของสีเทา</v>
      </c>
      <c r="CJ34" s="21" t="str">
        <f ca="1">IFERROR(__xludf.DUMMYFUNCTION("GOOGLETRANSLATE($A30,A$1,W$1)"),"ग्रे की शारीरिक रचना")</f>
        <v>ग्रे की शारीरिक रचना</v>
      </c>
      <c r="CK34" s="21" t="str">
        <f ca="1">IFERROR(__xludf.DUMMYFUNCTION("GOOGLETRANSLATE($A30,A$1,X$1)"),"آناتومی خاکستری")</f>
        <v>آناتومی خاکستری</v>
      </c>
      <c r="CL34" s="21" t="str">
        <f ca="1">IFERROR(__xludf.DUMMYFUNCTION("GOOGLETRANSLATE($A30,A$1,Y$1)"),"تشريح غراي")</f>
        <v>تشريح غراي</v>
      </c>
      <c r="CM34" s="21" t="str">
        <f ca="1">IFERROR(__xludf.DUMMYFUNCTION("GOOGLETRANSLATE($A30,A$1,Z$1)"),"Gray'in Anatomisi")</f>
        <v>Gray'in Anatomisi</v>
      </c>
      <c r="CN34" t="s">
        <v>614</v>
      </c>
      <c r="CQ34" s="21" t="str">
        <f ca="1">IFERROR(__xludf.DUMMYFUNCTION("GOOGLETRANSLATE($A30,A$1,AD$1)"),"Grey's Anatomy")</f>
        <v>Grey's Anatomy</v>
      </c>
      <c r="CR34" s="21" t="str">
        <f ca="1">IFERROR(__xludf.DUMMYFUNCTION("GOOGLETRANSLATE($A30,A$1,AE$1)"),"회색 해부학")</f>
        <v>회색 해부학</v>
      </c>
      <c r="CS34" s="21" t="str">
        <f ca="1">IFERROR(__xludf.DUMMYFUNCTION("GOOGLETRANSLATE($A30,B$1,AF$1)"),"האנטומיה של גריי")</f>
        <v>האנטומיה של גריי</v>
      </c>
    </row>
    <row r="35" spans="3:97" s="40" customFormat="1" ht="15.75">
      <c r="C35" s="37" t="s">
        <v>615</v>
      </c>
      <c r="D35" s="38" t="s">
        <v>616</v>
      </c>
      <c r="E35" s="37" t="s">
        <v>617</v>
      </c>
      <c r="F35" s="39" t="str">
        <f ca="1">IFERROR(__xludf.DUMMYFUNCTION("GOOGLETRANSLATE($A31,A$1,B$1)"),"sehr groß")</f>
        <v>sehr groß</v>
      </c>
      <c r="K35" s="41" t="s">
        <v>615</v>
      </c>
      <c r="L35" s="40" t="s">
        <v>616</v>
      </c>
      <c r="M35" s="42" t="s">
        <v>721</v>
      </c>
      <c r="N35" s="41"/>
      <c r="P35" s="42"/>
      <c r="Q35" s="41"/>
      <c r="S35" s="42"/>
      <c r="T35" s="41"/>
      <c r="V35" s="42"/>
      <c r="W35" s="41"/>
      <c r="Y35" s="42"/>
      <c r="Z35" s="41"/>
      <c r="AB35" s="42"/>
      <c r="BN35" s="43" t="s">
        <v>617</v>
      </c>
      <c r="BO35" s="44" t="str">
        <f ca="1">IFERROR(__xludf.DUMMYFUNCTION("GOOGLETRANSLATE($A31,A$1,B$1)"),"sehr groß")</f>
        <v>sehr groß</v>
      </c>
      <c r="BP35" s="44" t="str">
        <f ca="1">IFERROR(__xludf.DUMMYFUNCTION("GOOGLETRANSLATE($A31,A$1,C$1)"),"extreem groot")</f>
        <v>extreem groot</v>
      </c>
      <c r="BQ35" s="44" t="str">
        <f ca="1">IFERROR(__xludf.DUMMYFUNCTION("GOOGLETRANSLATE($A31,A$1,D$1)"),"очень большой")</f>
        <v>очень большой</v>
      </c>
      <c r="BR35" s="40" t="s">
        <v>618</v>
      </c>
      <c r="BS35" s="45" t="str">
        <f ca="1">IFERROR(__xludf.DUMMYFUNCTION("GOOGLETRANSLATE($A31,A$1,F$1)"),"ekstremalnie duży")</f>
        <v>ekstremalnie duży</v>
      </c>
      <c r="BT35" s="44" t="str">
        <f ca="1">IFERROR(__xludf.DUMMYFUNCTION("GOOGLETRANSLATE($A31,A$1,G$1)"),"extrémně velký")</f>
        <v>extrémně velký</v>
      </c>
      <c r="BU35" s="44" t="str">
        <f ca="1">IFERROR(__xludf.DUMMYFUNCTION("GOOGLETRANSLATE($A31,A$1,H$1)"),"mimoriadne veľký")</f>
        <v>mimoriadne veľký</v>
      </c>
      <c r="BV35" s="40" t="s">
        <v>619</v>
      </c>
      <c r="BW35" s="40" t="s">
        <v>620</v>
      </c>
      <c r="BX35" s="40" t="s">
        <v>621</v>
      </c>
      <c r="BY35" s="40" t="s">
        <v>622</v>
      </c>
      <c r="BZ35" s="40" t="s">
        <v>623</v>
      </c>
      <c r="CA35" s="40" t="s">
        <v>624</v>
      </c>
      <c r="CB35" s="44" t="str">
        <f ca="1">IFERROR(__xludf.DUMMYFUNCTION("GOOGLETRANSLATE($A31,A$1,O$1)"),"Υπερβολικά μεγάλο")</f>
        <v>Υπερβολικά μεγάλο</v>
      </c>
      <c r="CC35" s="44" t="str">
        <f ca="1">IFERROR(__xludf.DUMMYFUNCTION("GOOGLETRANSLATE($A31,A$1,P$1)"),"extrêmement large")</f>
        <v>extrêmement large</v>
      </c>
      <c r="CD35" s="44" t="str">
        <f ca="1">IFERROR(__xludf.DUMMYFUNCTION("GOOGLETRANSLATE($A31,A$1,Q$1)"),"Extremamente grande")</f>
        <v>Extremamente grande</v>
      </c>
      <c r="CE35" s="44" t="str">
        <f ca="1">IFERROR(__xludf.DUMMYFUNCTION("GOOGLETRANSLATE($A31,A$1,R$1)"),"estremamente largo")</f>
        <v>estremamente largo</v>
      </c>
      <c r="CF35" s="44" t="str">
        <f ca="1">IFERROR(__xludf.DUMMYFUNCTION("GOOGLETRANSLATE($A31,A$1,S$1)"),"extrem de mare")</f>
        <v>extrem de mare</v>
      </c>
      <c r="CG35" s="40" t="s">
        <v>625</v>
      </c>
      <c r="CH35" s="40" t="s">
        <v>626</v>
      </c>
      <c r="CI35" s="46" t="str">
        <f ca="1">IFERROR(__xludf.DUMMYFUNCTION("GOOGLETRANSLATE($A31,A$1,V$1)"),"ใหญ่มาก")</f>
        <v>ใหญ่มาก</v>
      </c>
      <c r="CJ35" s="44" t="str">
        <f ca="1">IFERROR(__xludf.DUMMYFUNCTION("GOOGLETRANSLATE($A31,A$1,W$1)"),"बहुत ही बड़ा")</f>
        <v>बहुत ही बड़ा</v>
      </c>
      <c r="CK35" s="44" t="str">
        <f ca="1">IFERROR(__xludf.DUMMYFUNCTION("GOOGLETRANSLATE($A31,A$1,X$1)"),"بسیار بزرگ")</f>
        <v>بسیار بزرگ</v>
      </c>
      <c r="CL35" s="44" t="str">
        <f ca="1">IFERROR(__xludf.DUMMYFUNCTION("GOOGLETRANSLATE($A31,A$1,Y$1)"),"كبير للغاية")</f>
        <v>كبير للغاية</v>
      </c>
      <c r="CM35" s="44" t="str">
        <f ca="1">IFERROR(__xludf.DUMMYFUNCTION("GOOGLETRANSLATE($A31,A$1,Z$1)"),"aşırı geniş")</f>
        <v>aşırı geniş</v>
      </c>
      <c r="CN35" s="40" t="s">
        <v>627</v>
      </c>
      <c r="CQ35" s="44" t="str">
        <f ca="1">IFERROR(__xludf.DUMMYFUNCTION("GOOGLETRANSLATE($A31,A$1,AD$1)"),"izuzetno velik")</f>
        <v>izuzetno velik</v>
      </c>
      <c r="CR35" s="44" t="str">
        <f ca="1">IFERROR(__xludf.DUMMYFUNCTION("GOOGLETRANSLATE($A31,A$1,AE$1)"),"매우 큽니다")</f>
        <v>매우 큽니다</v>
      </c>
      <c r="CS35" s="44" t="str">
        <f ca="1">IFERROR(__xludf.DUMMYFUNCTION("GOOGLETRANSLATE($A31,B$1,AF$1)"),"גדול במיוחד")</f>
        <v>גדול במיוחד</v>
      </c>
    </row>
    <row r="36" spans="3:97" s="40" customFormat="1" ht="15.75">
      <c r="C36" s="37" t="s">
        <v>628</v>
      </c>
      <c r="D36" s="37" t="s">
        <v>629</v>
      </c>
      <c r="E36" s="37" t="s">
        <v>630</v>
      </c>
      <c r="F36" s="39" t="str">
        <f ca="1">IFERROR(__xludf.DUMMYFUNCTION("GOOGLETRANSLATE($A32,A$1,B$1)"),"nimm beide Hände auf; Schaufel")</f>
        <v>nimm beide Hände auf; Schaufel</v>
      </c>
      <c r="K36" s="41" t="s">
        <v>628</v>
      </c>
      <c r="L36" s="40" t="s">
        <v>616</v>
      </c>
      <c r="M36" s="42" t="s">
        <v>722</v>
      </c>
      <c r="N36" s="41"/>
      <c r="P36" s="42"/>
      <c r="Q36" s="41"/>
      <c r="S36" s="42"/>
      <c r="T36" s="41"/>
      <c r="V36" s="42"/>
      <c r="W36" s="41"/>
      <c r="Y36" s="42"/>
      <c r="Z36" s="41"/>
      <c r="AB36" s="42"/>
      <c r="BN36" s="43" t="s">
        <v>631</v>
      </c>
      <c r="BO36" s="44" t="str">
        <f ca="1">IFERROR(__xludf.DUMMYFUNCTION("GOOGLETRANSLATE($A32,A$1,B$1)"),"nimm beide Hände auf; Schaufel")</f>
        <v>nimm beide Hände auf; Schaufel</v>
      </c>
      <c r="BP36" s="44" t="str">
        <f ca="1">IFERROR(__xludf.DUMMYFUNCTION("GOOGLETRANSLATE($A32,A$1,C$1)"),"Neem beide handen op; scheppen")</f>
        <v>Neem beide handen op; scheppen</v>
      </c>
      <c r="BQ36" s="44" t="str">
        <f ca="1">IFERROR(__xludf.DUMMYFUNCTION("GOOGLETRANSLATE($A32,A$1,D$1)"),"взять обе руки; Шовельфул")</f>
        <v>взять обе руки; Шовельфул</v>
      </c>
      <c r="BR36" s="40" t="s">
        <v>632</v>
      </c>
      <c r="BS36" s="45" t="str">
        <f ca="1">IFERROR(__xludf.DUMMYFUNCTION("GOOGLETRANSLATE($A32,A$1,F$1)"),"Weź obie ręce; łopaty")</f>
        <v>Weź obie ręce; łopaty</v>
      </c>
      <c r="BT36" s="44" t="str">
        <f ca="1">IFERROR(__xludf.DUMMYFUNCTION("GOOGLETRANSLATE($A32,A$1,G$1)"),"Vezměte obě ruce; SCOVELFUL")</f>
        <v>Vezměte obě ruce; SCOVELFUL</v>
      </c>
      <c r="BU36" s="44" t="str">
        <f ca="1">IFERROR(__xludf.DUMMYFUNCTION("GOOGLETRANSLATE($A32,A$1,H$1)"),"Zoberte obe ruky; vyhovený")</f>
        <v>Zoberte obe ruky; vyhovený</v>
      </c>
      <c r="BV36" s="40" t="s">
        <v>633</v>
      </c>
      <c r="BW36" s="40" t="s">
        <v>634</v>
      </c>
      <c r="BX36" s="40" t="s">
        <v>635</v>
      </c>
      <c r="BY36" s="40" t="s">
        <v>636</v>
      </c>
      <c r="BZ36" s="40" t="s">
        <v>637</v>
      </c>
      <c r="CA36" s="40" t="s">
        <v>638</v>
      </c>
      <c r="CB36" s="44" t="str">
        <f ca="1">IFERROR(__xludf.DUMMYFUNCTION("GOOGLETRANSLATE($A32,A$1,O$1)"),"Πάρτε και τα δύο χέρια. φτυαριά")</f>
        <v>Πάρτε και τα δύο χέρια. φτυαριά</v>
      </c>
      <c r="CC36" s="44" t="str">
        <f ca="1">IFERROR(__xludf.DUMMYFUNCTION("GOOGLETRANSLATE($A32,A$1,P$1)"),"prendre les deux mains; pelletée")</f>
        <v>prendre les deux mains; pelletée</v>
      </c>
      <c r="CD36" s="44" t="str">
        <f ca="1">IFERROR(__xludf.DUMMYFUNCTION("GOOGLETRANSLATE($A32,A$1,Q$1)"),"Pegue as duas mãos; pá")</f>
        <v>Pegue as duas mãos; pá</v>
      </c>
      <c r="CE36" s="44" t="str">
        <f ca="1">IFERROR(__xludf.DUMMYFUNCTION("GOOGLETRANSLATE($A32,A$1,R$1)"),"prendere entrambe le mani; palata")</f>
        <v>prendere entrambe le mani; palata</v>
      </c>
      <c r="CF36" s="44" t="str">
        <f ca="1">IFERROR(__xludf.DUMMYFUNCTION("GOOGLETRANSLATE($A32,A$1,S$1)"),"ia ambele mâini; lopată")</f>
        <v>ia ambele mâini; lopată</v>
      </c>
      <c r="CG36" s="40" t="s">
        <v>639</v>
      </c>
      <c r="CH36" s="40" t="s">
        <v>640</v>
      </c>
      <c r="CI36" s="46" t="str">
        <f ca="1">IFERROR(__xludf.DUMMYFUNCTION("GOOGLETRANSLATE($A32,A$1,V$1)"),"ใช้มือทั้งสองข้าง พลั่ว")</f>
        <v>ใช้มือทั้งสองข้าง พลั่ว</v>
      </c>
      <c r="CJ36" s="44" t="str">
        <f ca="1">IFERROR(__xludf.DUMMYFUNCTION("GOOGLETRANSLATE($A32,A$1,W$1)"),"दोनों हाथ उठाओ; फावड़ा")</f>
        <v>दोनों हाथ उठाओ; फावड़ा</v>
      </c>
      <c r="CK36" s="44" t="str">
        <f ca="1">IFERROR(__xludf.DUMMYFUNCTION("GOOGLETRANSLATE($A32,A$1,X$1)"),"هر دو دست را بگیرید. قند")</f>
        <v>هر دو دست را بگیرید. قند</v>
      </c>
      <c r="CL36" s="44" t="str">
        <f ca="1">IFERROR(__xludf.DUMMYFUNCTION("GOOGLETRANSLATE($A32,A$1,Y$1)"),"تناول كلتا يديه. مجرفة")</f>
        <v>تناول كلتا يديه. مجرفة</v>
      </c>
      <c r="CM36" s="44" t="str">
        <f ca="1">IFERROR(__xludf.DUMMYFUNCTION("GOOGLETRANSLATE($A32,A$1,Z$1)"),"iki elini de al; Shovelful")</f>
        <v>iki elini de al; Shovelful</v>
      </c>
      <c r="CN36" s="40" t="s">
        <v>641</v>
      </c>
      <c r="CQ36" s="44" t="str">
        <f ca="1">IFERROR(__xludf.DUMMYFUNCTION("GOOGLETRANSLATE($A32,A$1,AD$1)"),"Uzmi obje ruke; lopov")</f>
        <v>Uzmi obje ruke; lopov</v>
      </c>
      <c r="CR36" s="44" t="str">
        <f ca="1">IFERROR(__xludf.DUMMYFUNCTION("GOOGLETRANSLATE($A32,A$1,AE$1)"),"양손을 잡으십시오. Shovelful")</f>
        <v>양손을 잡으십시오. Shovelful</v>
      </c>
      <c r="CS36" s="44" t="str">
        <f ca="1">IFERROR(__xludf.DUMMYFUNCTION("GOOGLETRANSLATE($A32,B$1,AF$1)"),"לקחת את שתי הידיים; Shovelful")</f>
        <v>לקחת את שתי הידיים; Shovelful</v>
      </c>
    </row>
    <row r="37" spans="3:97" s="40" customFormat="1" ht="15.75">
      <c r="C37" s="37" t="s">
        <v>642</v>
      </c>
      <c r="D37" s="37" t="s">
        <v>629</v>
      </c>
      <c r="E37" s="37" t="s">
        <v>643</v>
      </c>
      <c r="F37" s="39" t="str">
        <f ca="1">IFERROR(__xludf.DUMMYFUNCTION("GOOGLETRANSLATE($A33,A$1,B$1)"),"sammeln; Plunder")</f>
        <v>sammeln; Plunder</v>
      </c>
      <c r="K37" s="41" t="s">
        <v>644</v>
      </c>
      <c r="L37" s="40" t="s">
        <v>616</v>
      </c>
      <c r="M37" s="42" t="s">
        <v>723</v>
      </c>
      <c r="N37" s="41" t="s">
        <v>0</v>
      </c>
      <c r="P37" s="42" t="s">
        <v>0</v>
      </c>
      <c r="Q37" s="41"/>
      <c r="S37" s="42"/>
      <c r="T37" s="41"/>
      <c r="V37" s="42"/>
      <c r="W37" s="41"/>
      <c r="Y37" s="42"/>
      <c r="Z37" s="41"/>
      <c r="AB37" s="42"/>
      <c r="BN37" s="43" t="s">
        <v>645</v>
      </c>
      <c r="BO37" s="44" t="str">
        <f ca="1">IFERROR(__xludf.DUMMYFUNCTION("GOOGLETRANSLATE($A33,A$1,B$1)"),"sammeln; Plunder")</f>
        <v>sammeln; Plunder</v>
      </c>
      <c r="BP37" s="44" t="str">
        <f ca="1">IFERROR(__xludf.DUMMYFUNCTION("GOOGLETRANSLATE($A33,A$1,C$1)"),"verzamelen; plunderen")</f>
        <v>verzamelen; plunderen</v>
      </c>
      <c r="BQ37" s="44" t="str">
        <f ca="1">IFERROR(__xludf.DUMMYFUNCTION("GOOGLETRANSLATE($A33,A$1,D$1)"),"собирать; разграбление")</f>
        <v>собирать; разграбление</v>
      </c>
      <c r="BR37" s="40" t="s">
        <v>646</v>
      </c>
      <c r="BS37" s="45" t="str">
        <f ca="1">IFERROR(__xludf.DUMMYFUNCTION("GOOGLETRANSLATE($A33,A$1,F$1)"),"zbierać; grabież")</f>
        <v>zbierać; grabież</v>
      </c>
      <c r="BT37" s="44" t="str">
        <f ca="1">IFERROR(__xludf.DUMMYFUNCTION("GOOGLETRANSLATE($A33,A$1,G$1)"),"sbírat; kořist")</f>
        <v>sbírat; kořist</v>
      </c>
      <c r="BU37" s="44" t="str">
        <f ca="1">IFERROR(__xludf.DUMMYFUNCTION("GOOGLETRANSLATE($A33,A$1,H$1)"),"zberať; drancovanie")</f>
        <v>zberať; drancovanie</v>
      </c>
      <c r="BV37" s="40" t="s">
        <v>647</v>
      </c>
      <c r="BW37" s="40" t="s">
        <v>648</v>
      </c>
      <c r="BX37" s="40" t="s">
        <v>649</v>
      </c>
      <c r="BY37" s="40" t="s">
        <v>650</v>
      </c>
      <c r="BZ37" s="40" t="s">
        <v>651</v>
      </c>
      <c r="CA37" s="40" t="s">
        <v>652</v>
      </c>
      <c r="CB37" s="44" t="str">
        <f ca="1">IFERROR(__xludf.DUMMYFUNCTION("GOOGLETRANSLATE($A33,A$1,O$1)"),"συλλέγω; λεηλασία")</f>
        <v>συλλέγω; λεηλασία</v>
      </c>
      <c r="CC37" s="44" t="str">
        <f ca="1">IFERROR(__xludf.DUMMYFUNCTION("GOOGLETRANSLATE($A33,A$1,P$1)"),"collecter; pillage")</f>
        <v>collecter; pillage</v>
      </c>
      <c r="CD37" s="44" t="str">
        <f ca="1">IFERROR(__xludf.DUMMYFUNCTION("GOOGLETRANSLATE($A33,A$1,Q$1)"),"coletar; pilhagem")</f>
        <v>coletar; pilhagem</v>
      </c>
      <c r="CE37" s="44" t="str">
        <f ca="1">IFERROR(__xludf.DUMMYFUNCTION("GOOGLETRANSLATE($A33,A$1,R$1)"),"raccogliere; saccheggiare")</f>
        <v>raccogliere; saccheggiare</v>
      </c>
      <c r="CF37" s="44" t="str">
        <f ca="1">IFERROR(__xludf.DUMMYFUNCTION("GOOGLETRANSLATE($A33,A$1,S$1)"),"colectarea; jaf")</f>
        <v>colectarea; jaf</v>
      </c>
      <c r="CG37" s="40" t="s">
        <v>653</v>
      </c>
      <c r="CH37" s="40" t="s">
        <v>654</v>
      </c>
      <c r="CI37" s="46" t="str">
        <f ca="1">IFERROR(__xludf.DUMMYFUNCTION("GOOGLETRANSLATE($A33,A$1,V$1)"),"เก็บรวบรวม; ปล้น")</f>
        <v>เก็บรวบรวม; ปล้น</v>
      </c>
      <c r="CJ37" s="44" t="str">
        <f ca="1">IFERROR(__xludf.DUMMYFUNCTION("GOOGLETRANSLATE($A33,A$1,W$1)"),"इकट्ठा करना; लूट")</f>
        <v>इकट्ठा करना; लूट</v>
      </c>
      <c r="CK37" s="44" t="str">
        <f ca="1">IFERROR(__xludf.DUMMYFUNCTION("GOOGLETRANSLATE($A33,A$1,X$1)"),"جمع آوری غارت")</f>
        <v>جمع آوری غارت</v>
      </c>
      <c r="CL37" s="44" t="str">
        <f ca="1">IFERROR(__xludf.DUMMYFUNCTION("GOOGLETRANSLATE($A33,A$1,Y$1)"),"يجمع؛ نهب")</f>
        <v>يجمع؛ نهب</v>
      </c>
      <c r="CM37" s="44" t="str">
        <f ca="1">IFERROR(__xludf.DUMMYFUNCTION("GOOGLETRANSLATE($A33,A$1,Z$1)"),"TOPLAMAK; yağma")</f>
        <v>TOPLAMAK; yağma</v>
      </c>
      <c r="CN37" s="40" t="s">
        <v>655</v>
      </c>
      <c r="CQ37" s="44" t="str">
        <f ca="1">IFERROR(__xludf.DUMMYFUNCTION("GOOGLETRANSLATE($A33,A$1,AD$1)"),"prikupiti; pljačkati")</f>
        <v>prikupiti; pljačkati</v>
      </c>
      <c r="CR37" s="44" t="str">
        <f ca="1">IFERROR(__xludf.DUMMYFUNCTION("GOOGLETRANSLATE($A33,A$1,AE$1)"),"모으다; 약탈")</f>
        <v>모으다; 약탈</v>
      </c>
      <c r="CS37" s="44" t="str">
        <f ca="1">IFERROR(__xludf.DUMMYFUNCTION("GOOGLETRANSLATE($A33,B$1,AF$1)"),"לאסוף; בְּזִיזָה")</f>
        <v>לאסוף; בְּזִיזָה</v>
      </c>
    </row>
    <row r="38" spans="3:97" ht="15.75">
      <c r="C38" t="s">
        <v>656</v>
      </c>
      <c r="D38" t="s">
        <v>657</v>
      </c>
      <c r="E38" t="s">
        <v>658</v>
      </c>
      <c r="F38" s="19" t="str">
        <f ca="1">IFERROR(__xludf.DUMMYFUNCTION("GOOGLETRANSLATE($A34,A$1,B$1)"),"von den Reichen zu nehmen und den Armen zu geben")</f>
        <v>von den Reichen zu nehmen und den Armen zu geben</v>
      </c>
      <c r="K38" s="25" t="s">
        <v>644</v>
      </c>
      <c r="L38" t="s">
        <v>616</v>
      </c>
      <c r="M38" s="26" t="s">
        <v>723</v>
      </c>
      <c r="N38" s="25" t="s">
        <v>659</v>
      </c>
      <c r="O38" t="s">
        <v>660</v>
      </c>
      <c r="P38" s="26" t="s">
        <v>734</v>
      </c>
      <c r="Q38" s="25" t="s">
        <v>661</v>
      </c>
      <c r="R38" t="s">
        <v>662</v>
      </c>
      <c r="S38" s="26" t="s">
        <v>745</v>
      </c>
      <c r="T38" s="25" t="s">
        <v>663</v>
      </c>
      <c r="U38" t="s">
        <v>664</v>
      </c>
      <c r="V38" s="26"/>
      <c r="W38" s="25" t="s">
        <v>0</v>
      </c>
      <c r="Y38" s="26"/>
      <c r="Z38" s="25"/>
      <c r="AB38" s="26"/>
      <c r="BN38" s="24" t="s">
        <v>665</v>
      </c>
      <c r="BO38" s="21" t="str">
        <f ca="1">IFERROR(__xludf.DUMMYFUNCTION("GOOGLETRANSLATE($A34,A$1,B$1)"),"von den Reichen zu nehmen und den Armen zu geben")</f>
        <v>von den Reichen zu nehmen und den Armen zu geben</v>
      </c>
      <c r="BP38" s="21" t="str">
        <f ca="1">IFERROR(__xludf.DUMMYFUNCTION("GOOGLETRANSLATE($A34,A$1,C$1)"),"om van de rijken af ​​te nemen en aan de armen te geven")</f>
        <v>om van de rijken af ​​te nemen en aan de armen te geven</v>
      </c>
      <c r="BQ38" s="21" t="str">
        <f ca="1">IFERROR(__xludf.DUMMYFUNCTION("GOOGLETRANSLATE($A34,A$1,D$1)"),"взять у богатых и отдать бедным")</f>
        <v>взять у богатых и отдать бедным</v>
      </c>
      <c r="BR38" t="s">
        <v>666</v>
      </c>
      <c r="BS38" s="22" t="str">
        <f ca="1">IFERROR(__xludf.DUMMYFUNCTION("GOOGLETRANSLATE($A34,A$1,F$1)"),"zabrać od bogatych i dać biednym")</f>
        <v>zabrać od bogatych i dać biednym</v>
      </c>
      <c r="BT38" s="21" t="str">
        <f ca="1">IFERROR(__xludf.DUMMYFUNCTION("GOOGLETRANSLATE($A34,A$1,G$1)"),"brát z bohatých a dát chudým")</f>
        <v>brát z bohatých a dát chudým</v>
      </c>
      <c r="BU38" s="21" t="str">
        <f ca="1">IFERROR(__xludf.DUMMYFUNCTION("GOOGLETRANSLATE($A34,A$1,H$1)"),"vziať si z bohatých a dať chudobným")</f>
        <v>vziať si z bohatých a dať chudobným</v>
      </c>
      <c r="BV38" t="s">
        <v>667</v>
      </c>
      <c r="BW38" t="s">
        <v>668</v>
      </c>
      <c r="BX38" t="s">
        <v>669</v>
      </c>
      <c r="BY38" t="s">
        <v>670</v>
      </c>
      <c r="BZ38" t="s">
        <v>671</v>
      </c>
      <c r="CA38" t="s">
        <v>672</v>
      </c>
      <c r="CB38" s="21" t="str">
        <f ca="1">IFERROR(__xludf.DUMMYFUNCTION("GOOGLETRANSLATE($A34,A$1,O$1)"),"να πάρει από τους πλούσιους και να δώσει στους φτωχούς")</f>
        <v>να πάρει από τους πλούσιους και να δώσει στους φτωχούς</v>
      </c>
      <c r="CC38" s="21" t="str">
        <f ca="1">IFERROR(__xludf.DUMMYFUNCTION("GOOGLETRANSLATE($A34,A$1,P$1)"),"prendre des riches et donner aux pauvres")</f>
        <v>prendre des riches et donner aux pauvres</v>
      </c>
      <c r="CD38" s="21" t="str">
        <f ca="1">IFERROR(__xludf.DUMMYFUNCTION("GOOGLETRANSLATE($A34,A$1,Q$1)"),"tirar dos ricos e dar aos pobres")</f>
        <v>tirar dos ricos e dar aos pobres</v>
      </c>
      <c r="CE38" s="21" t="str">
        <f ca="1">IFERROR(__xludf.DUMMYFUNCTION("GOOGLETRANSLATE($A34,A$1,R$1)"),"prendere dai ricchi e dare ai poveri")</f>
        <v>prendere dai ricchi e dare ai poveri</v>
      </c>
      <c r="CF38" s="21" t="str">
        <f ca="1">IFERROR(__xludf.DUMMYFUNCTION("GOOGLETRANSLATE($A34,A$1,S$1)"),"a lua de la bogați și a da săracilor")</f>
        <v>a lua de la bogați și a da săracilor</v>
      </c>
      <c r="CG38" t="s">
        <v>673</v>
      </c>
      <c r="CH38" t="s">
        <v>674</v>
      </c>
      <c r="CI38" s="23" t="str">
        <f ca="1">IFERROR(__xludf.DUMMYFUNCTION("GOOGLETRANSLATE($A34,A$1,V$1)"),"รับจากคนรวยและมอบให้คนจน")</f>
        <v>รับจากคนรวยและมอบให้คนจน</v>
      </c>
      <c r="CJ38" s="21" t="str">
        <f ca="1">IFERROR(__xludf.DUMMYFUNCTION("GOOGLETRANSLATE($A34,A$1,W$1)"),"अमीरों से लेने और गरीबों को देने के लिए")</f>
        <v>अमीरों से लेने और गरीबों को देने के लिए</v>
      </c>
      <c r="CK38" s="21" t="str">
        <f ca="1">IFERROR(__xludf.DUMMYFUNCTION("GOOGLETRANSLATE($A34,A$1,X$1)"),"برای گرفتن از ثروتمندان و دادن به فقرا")</f>
        <v>برای گرفتن از ثروتمندان و دادن به فقرا</v>
      </c>
      <c r="CL38" s="21" t="str">
        <f ca="1">IFERROR(__xludf.DUMMYFUNCTION("GOOGLETRANSLATE($A34,A$1,Y$1)"),"أن تأخذ من الأثرياء وإعطاء الفقراء")</f>
        <v>أن تأخذ من الأثرياء وإعطاء الفقراء</v>
      </c>
      <c r="CM38" s="21" t="str">
        <f ca="1">IFERROR(__xludf.DUMMYFUNCTION("GOOGLETRANSLATE($A34,A$1,Z$1)"),"zenginlerden almak ve fakirlere vermek")</f>
        <v>zenginlerden almak ve fakirlere vermek</v>
      </c>
      <c r="CN38" t="s">
        <v>675</v>
      </c>
      <c r="CQ38" s="21" t="str">
        <f ca="1">IFERROR(__xludf.DUMMYFUNCTION("GOOGLETRANSLATE($A34,A$1,AD$1)"),"uzeti od bogatih i dati siromašnima")</f>
        <v>uzeti od bogatih i dati siromašnima</v>
      </c>
      <c r="CR38" s="21" t="str">
        <f ca="1">IFERROR(__xludf.DUMMYFUNCTION("GOOGLETRANSLATE($A34,A$1,AE$1)"),"부자에게서 가져 가서 가난한 사람들에게")</f>
        <v>부자에게서 가져 가서 가난한 사람들에게</v>
      </c>
      <c r="CS38" s="21" t="str">
        <f ca="1">IFERROR(__xludf.DUMMYFUNCTION("GOOGLETRANSLATE($A34,B$1,AF$1)"),"לקחת מהעשירים ולתת לעניים")</f>
        <v>לקחת מהעשירים ולתת לעניים</v>
      </c>
    </row>
    <row r="39" spans="3:97" ht="15.75">
      <c r="C39" t="s">
        <v>676</v>
      </c>
      <c r="D39" t="s">
        <v>677</v>
      </c>
      <c r="E39" t="s">
        <v>678</v>
      </c>
      <c r="F39" s="19" t="str">
        <f ca="1">IFERROR(__xludf.DUMMYFUNCTION("GOOGLETRANSLATE($A35,A$1,B$1)"),"Wohlstand ohne Zufriedenheit zu sammeln; ständig plündern")</f>
        <v>Wohlstand ohne Zufriedenheit zu sammeln; ständig plündern</v>
      </c>
      <c r="K39" s="25" t="s">
        <v>644</v>
      </c>
      <c r="L39" t="s">
        <v>616</v>
      </c>
      <c r="M39" s="26" t="s">
        <v>723</v>
      </c>
      <c r="N39" s="25" t="s">
        <v>679</v>
      </c>
      <c r="O39" t="s">
        <v>680</v>
      </c>
      <c r="P39" s="26" t="s">
        <v>735</v>
      </c>
      <c r="Q39" s="25" t="s">
        <v>681</v>
      </c>
      <c r="R39" t="s">
        <v>682</v>
      </c>
      <c r="S39" s="26" t="s">
        <v>746</v>
      </c>
      <c r="T39" s="25" t="s">
        <v>683</v>
      </c>
      <c r="U39" t="s">
        <v>684</v>
      </c>
      <c r="V39" s="26"/>
      <c r="W39" s="25" t="s">
        <v>0</v>
      </c>
      <c r="Y39" s="26"/>
      <c r="Z39" s="25"/>
      <c r="AB39" s="26"/>
      <c r="BN39" s="24" t="s">
        <v>685</v>
      </c>
      <c r="BO39" s="21" t="str">
        <f ca="1">IFERROR(__xludf.DUMMYFUNCTION("GOOGLETRANSLATE($A35,A$1,B$1)"),"Wohlstand ohne Zufriedenheit zu sammeln; ständig plündern")</f>
        <v>Wohlstand ohne Zufriedenheit zu sammeln; ständig plündern</v>
      </c>
      <c r="BP39" s="21" t="str">
        <f ca="1">IFERROR(__xludf.DUMMYFUNCTION("GOOGLETRANSLATE($A35,A$1,C$1)"),"om rijkdom te verzamelen zonder tevredenheid; om voortdurend te plunderen")</f>
        <v>om rijkdom te verzamelen zonder tevredenheid; om voortdurend te plunderen</v>
      </c>
      <c r="BQ39" s="21" t="str">
        <f ca="1">IFERROR(__xludf.DUMMYFUNCTION("GOOGLETRANSLATE($A35,A$1,D$1)"),"накапливать богатство без удовлетворения; постоянно грабить")</f>
        <v>накапливать богатство без удовлетворения; постоянно грабить</v>
      </c>
      <c r="BR39" t="s">
        <v>686</v>
      </c>
      <c r="BS39" s="22" t="str">
        <f ca="1">IFERROR(__xludf.DUMMYFUNCTION("GOOGLETRANSLATE($A35,A$1,F$1)"),"gromadzić bogactwo bez satysfakcji; do ciągłego grabieży")</f>
        <v>gromadzić bogactwo bez satysfakcji; do ciągłego grabieży</v>
      </c>
      <c r="BT39" s="21" t="str">
        <f ca="1">IFERROR(__xludf.DUMMYFUNCTION("GOOGLETRANSLATE($A35,A$1,G$1)"),"akumulovat bohatství bez spokojenosti; neustále drancovat")</f>
        <v>akumulovat bohatství bez spokojenosti; neustále drancovat</v>
      </c>
      <c r="BU39" s="21" t="str">
        <f ca="1">IFERROR(__xludf.DUMMYFUNCTION("GOOGLETRANSLATE($A35,A$1,H$1)"),"akumulovať bohatstvo bez uspokojenia; Neustále vyplieniť")</f>
        <v>akumulovať bohatstvo bez uspokojenia; Neustále vyplieniť</v>
      </c>
      <c r="BV39" t="s">
        <v>687</v>
      </c>
      <c r="BW39" t="s">
        <v>688</v>
      </c>
      <c r="BX39" t="s">
        <v>689</v>
      </c>
      <c r="BY39" t="s">
        <v>690</v>
      </c>
      <c r="BZ39" t="s">
        <v>691</v>
      </c>
      <c r="CA39" t="s">
        <v>692</v>
      </c>
      <c r="CB39" s="21" t="str">
        <f ca="1">IFERROR(__xludf.DUMMYFUNCTION("GOOGLETRANSLATE($A35,A$1,O$1)"),"να συσσωρεύσει πλούτο χωρίς ικανοποίηση. να λεηλατήσει συνεχώς")</f>
        <v>να συσσωρεύσει πλούτο χωρίς ικανοποίηση. να λεηλατήσει συνεχώς</v>
      </c>
      <c r="CC39" s="21" t="str">
        <f ca="1">IFERROR(__xludf.DUMMYFUNCTION("GOOGLETRANSLATE($A35,A$1,P$1)"),"accumuler la richesse sans satisfaction; à piller continuellement")</f>
        <v>accumuler la richesse sans satisfaction; à piller continuellement</v>
      </c>
      <c r="CD39" s="21" t="str">
        <f ca="1">IFERROR(__xludf.DUMMYFUNCTION("GOOGLETRANSLATE($A35,A$1,Q$1)"),"acumular riqueza sem satisfação; para saquear continuamente")</f>
        <v>acumular riqueza sem satisfação; para saquear continuamente</v>
      </c>
      <c r="CE39" s="21" t="str">
        <f ca="1">IFERROR(__xludf.DUMMYFUNCTION("GOOGLETRANSLATE($A35,A$1,R$1)"),"accumulare ricchezza senza soddisfazione; per saccheggiare continuamente")</f>
        <v>accumulare ricchezza senza soddisfazione; per saccheggiare continuamente</v>
      </c>
      <c r="CF39" s="21" t="str">
        <f ca="1">IFERROR(__xludf.DUMMYFUNCTION("GOOGLETRANSLATE($A35,A$1,S$1)"),"să acumuleze bogăție fără satisfacție; să jefuiască continuu")</f>
        <v>să acumuleze bogăție fără satisfacție; să jefuiască continuu</v>
      </c>
      <c r="CG39" t="s">
        <v>693</v>
      </c>
      <c r="CH39" t="s">
        <v>694</v>
      </c>
      <c r="CI39" s="23" t="str">
        <f ca="1">IFERROR(__xludf.DUMMYFUNCTION("GOOGLETRANSLATE($A35,A$1,V$1)"),"เพื่อสะสมความมั่งคั่งโดยไม่มีความพึงพอใจ เพื่อปล้นอย่างต่อเนื่อง")</f>
        <v>เพื่อสะสมความมั่งคั่งโดยไม่มีความพึงพอใจ เพื่อปล้นอย่างต่อเนื่อง</v>
      </c>
      <c r="CJ39" s="21" t="str">
        <f ca="1">IFERROR(__xludf.DUMMYFUNCTION("GOOGLETRANSLATE($A35,A$1,W$1)"),"संतुष्टि के बिना धन जमा करने के लिए; लगातार लूटने के लिए")</f>
        <v>संतुष्टि के बिना धन जमा करने के लिए; लगातार लूटने के लिए</v>
      </c>
      <c r="CK39" s="21" t="str">
        <f ca="1">IFERROR(__xludf.DUMMYFUNCTION("GOOGLETRANSLATE($A35,A$1,X$1)"),"جمع آوری ثروت بدون رضایت ؛ به غارت مداوم")</f>
        <v>جمع آوری ثروت بدون رضایت ؛ به غارت مداوم</v>
      </c>
      <c r="CL39" s="21" t="str">
        <f ca="1">IFERROR(__xludf.DUMMYFUNCTION("GOOGLETRANSLATE($A35,A$1,Y$1)"),"لتجميع الثروة دون الرضا ؛ للنهب باستمرار")</f>
        <v>لتجميع الثروة دون الرضا ؛ للنهب باستمرار</v>
      </c>
      <c r="CM39" s="21" t="str">
        <f ca="1">IFERROR(__xludf.DUMMYFUNCTION("GOOGLETRANSLATE($A35,A$1,Z$1)"),"Serveti memnuniyetsiz bir şekilde biriktirmek; sürekli yağmalamak")</f>
        <v>Serveti memnuniyetsiz bir şekilde biriktirmek; sürekli yağmalamak</v>
      </c>
      <c r="CN39" t="s">
        <v>695</v>
      </c>
      <c r="CQ39" s="21" t="str">
        <f ca="1">IFERROR(__xludf.DUMMYFUNCTION("GOOGLETRANSLATE($A35,A$1,AD$1)"),"akumulirati bogatstvo bez zadovoljstva; neprestano pljačkati")</f>
        <v>akumulirati bogatstvo bez zadovoljstva; neprestano pljačkati</v>
      </c>
      <c r="CR39" s="21" t="str">
        <f ca="1">IFERROR(__xludf.DUMMYFUNCTION("GOOGLETRANSLATE($A35,A$1,AE$1)"),"만족없이 부를 축적하는 것; 지속적으로 약탈")</f>
        <v>만족없이 부를 축적하는 것; 지속적으로 약탈</v>
      </c>
      <c r="CS39" s="21" t="str">
        <f ca="1">IFERROR(__xludf.DUMMYFUNCTION("GOOGLETRANSLATE($A35,B$1,AF$1)"),"לצבור עושר ללא סיעת סאטיס; לבזבז ללא הרף")</f>
        <v>לצבור עושר ללא סיעת סאטיס; לבזבז ללא הרף</v>
      </c>
    </row>
    <row r="40" spans="3:97" s="40" customFormat="1" ht="15.75">
      <c r="C40" s="37" t="s">
        <v>696</v>
      </c>
      <c r="D40" s="38" t="s">
        <v>697</v>
      </c>
      <c r="E40" s="37" t="s">
        <v>698</v>
      </c>
      <c r="F40" s="39" t="str">
        <f ca="1">IFERROR(__xludf.DUMMYFUNCTION("GOOGLETRANSLATE($A36,A$1,B$1)"),"beenden; Schlag")</f>
        <v>beenden; Schlag</v>
      </c>
      <c r="K40" s="41" t="s">
        <v>0</v>
      </c>
      <c r="L40" s="40" t="s">
        <v>697</v>
      </c>
      <c r="M40" s="42"/>
      <c r="N40" s="41" t="s">
        <v>699</v>
      </c>
      <c r="P40" s="42"/>
      <c r="Q40" s="41"/>
      <c r="S40" s="42"/>
      <c r="T40" s="41"/>
      <c r="V40" s="42"/>
      <c r="W40" s="41"/>
      <c r="Y40" s="42"/>
      <c r="Z40" s="41"/>
      <c r="AB40" s="42"/>
      <c r="BN40" s="43" t="s">
        <v>700</v>
      </c>
      <c r="BO40" s="44" t="str">
        <f ca="1">IFERROR(__xludf.DUMMYFUNCTION("GOOGLETRANSLATE($A36,A$1,B$1)"),"beenden; Schlag")</f>
        <v>beenden; Schlag</v>
      </c>
      <c r="BP40" s="44" t="str">
        <f ca="1">IFERROR(__xludf.DUMMYFUNCTION("GOOGLETRANSLATE($A36,A$1,C$1)"),"Uitmaken; hit")</f>
        <v>Uitmaken; hit</v>
      </c>
      <c r="BQ40" s="44" t="str">
        <f ca="1">IFERROR(__xludf.DUMMYFUNCTION("GOOGLETRANSLATE($A36,A$1,D$1)"),"расставаться; ударять")</f>
        <v>расставаться; ударять</v>
      </c>
      <c r="BR40" s="40" t="s">
        <v>701</v>
      </c>
      <c r="BS40" s="45" t="str">
        <f ca="1">IFERROR(__xludf.DUMMYFUNCTION("GOOGLETRANSLATE($A36,A$1,F$1)"),"zerwać; uderzyć")</f>
        <v>zerwać; uderzyć</v>
      </c>
      <c r="BT40" s="44" t="str">
        <f ca="1">IFERROR(__xludf.DUMMYFUNCTION("GOOGLETRANSLATE($A36,A$1,G$1)"),"rozchod; udeřil")</f>
        <v>rozchod; udeřil</v>
      </c>
      <c r="BU40" s="44" t="str">
        <f ca="1">IFERROR(__xludf.DUMMYFUNCTION("GOOGLETRANSLATE($A36,A$1,H$1)"),"rozísť sa; zasiahnuť")</f>
        <v>rozísť sa; zasiahnuť</v>
      </c>
      <c r="BV40" s="40" t="s">
        <v>702</v>
      </c>
      <c r="BW40" s="40" t="s">
        <v>703</v>
      </c>
      <c r="BX40" s="40" t="s">
        <v>704</v>
      </c>
      <c r="BY40" s="40" t="s">
        <v>705</v>
      </c>
      <c r="BZ40" s="40" t="s">
        <v>706</v>
      </c>
      <c r="CA40" s="40" t="s">
        <v>707</v>
      </c>
      <c r="CB40" s="44" t="str">
        <f ca="1">IFERROR(__xludf.DUMMYFUNCTION("GOOGLETRANSLATE($A36,A$1,O$1)"),"χωρίζω; Κτύπημα")</f>
        <v>χωρίζω; Κτύπημα</v>
      </c>
      <c r="CC40" s="44" t="str">
        <f ca="1">IFERROR(__xludf.DUMMYFUNCTION("GOOGLETRANSLATE($A36,A$1,P$1)"),"rompre; frapper")</f>
        <v>rompre; frapper</v>
      </c>
      <c r="CD40" s="44" t="str">
        <f ca="1">IFERROR(__xludf.DUMMYFUNCTION("GOOGLETRANSLATE($A36,A$1,Q$1)"),"romper; bater")</f>
        <v>romper; bater</v>
      </c>
      <c r="CE40" s="44" t="str">
        <f ca="1">IFERROR(__xludf.DUMMYFUNCTION("GOOGLETRANSLATE($A36,A$1,R$1)"),"rottura; colpo")</f>
        <v>rottura; colpo</v>
      </c>
      <c r="CF40" s="44" t="str">
        <f ca="1">IFERROR(__xludf.DUMMYFUNCTION("GOOGLETRANSLATE($A36,A$1,S$1)"),"despărți; lovit")</f>
        <v>despărți; lovit</v>
      </c>
      <c r="CG40" s="40" t="s">
        <v>708</v>
      </c>
      <c r="CH40" s="40" t="s">
        <v>709</v>
      </c>
      <c r="CI40" s="46" t="str">
        <f ca="1">IFERROR(__xludf.DUMMYFUNCTION("GOOGLETRANSLATE($A36,A$1,V$1)"),"เลิกกัน; ตี")</f>
        <v>เลิกกัน; ตี</v>
      </c>
      <c r="CJ40" s="44" t="str">
        <f ca="1">IFERROR(__xludf.DUMMYFUNCTION("GOOGLETRANSLATE($A36,A$1,W$1)"),"संबंध विच्छेद; मार")</f>
        <v>संबंध विच्छेद; मार</v>
      </c>
      <c r="CK40" s="44" t="str">
        <f ca="1">IFERROR(__xludf.DUMMYFUNCTION("GOOGLETRANSLATE($A36,A$1,X$1)"),"شکسته شدن اصابت")</f>
        <v>شکسته شدن اصابت</v>
      </c>
      <c r="CL40" s="44" t="str">
        <f ca="1">IFERROR(__xludf.DUMMYFUNCTION("GOOGLETRANSLATE($A36,A$1,Y$1)"),"انفصل؛ يضرب")</f>
        <v>انفصل؛ يضرب</v>
      </c>
      <c r="CM40" s="44" t="str">
        <f ca="1">IFERROR(__xludf.DUMMYFUNCTION("GOOGLETRANSLATE($A36,A$1,Z$1)"),"ayrılmak; vurmak")</f>
        <v>ayrılmak; vurmak</v>
      </c>
      <c r="CN40" s="40" t="s">
        <v>710</v>
      </c>
      <c r="CQ40" s="44" t="str">
        <f ca="1">IFERROR(__xludf.DUMMYFUNCTION("GOOGLETRANSLATE($A36,A$1,AD$1)"),"prekinuti; pogoditi")</f>
        <v>prekinuti; pogoditi</v>
      </c>
      <c r="CR40" s="44" t="str">
        <f ca="1">IFERROR(__xludf.DUMMYFUNCTION("GOOGLETRANSLATE($A36,A$1,AE$1)"),"헤어짐; 때리다")</f>
        <v>헤어짐; 때리다</v>
      </c>
      <c r="CS40" s="44" t="str">
        <f ca="1">IFERROR(__xludf.DUMMYFUNCTION("GOOGLETRANSLATE($A36,B$1,AF$1)"),"להפרד; מכה")</f>
        <v>להפרד; מכה</v>
      </c>
    </row>
    <row r="41" spans="3:97" ht="15.75">
      <c r="K41" s="25"/>
      <c r="M41" s="26"/>
      <c r="N41" s="25"/>
      <c r="P41" s="26"/>
      <c r="Q41" s="25"/>
      <c r="S41" s="26"/>
      <c r="T41" s="25"/>
      <c r="V41" s="26"/>
      <c r="W41" s="25"/>
      <c r="Y41" s="26"/>
      <c r="Z41" s="25"/>
      <c r="AB41" s="26"/>
      <c r="BN41" s="27"/>
      <c r="BO41" s="21"/>
      <c r="BP41" s="21"/>
      <c r="BQ41" s="21"/>
      <c r="BS41" s="21"/>
      <c r="BT41" s="21"/>
      <c r="BU41" s="21"/>
      <c r="CB41" s="21"/>
      <c r="CC41" s="21"/>
      <c r="CD41" s="21"/>
      <c r="CE41" s="21"/>
      <c r="CF41" s="21"/>
      <c r="CI41" s="22"/>
      <c r="CJ41" s="21"/>
      <c r="CK41" s="21"/>
      <c r="CL41" s="21"/>
      <c r="CM41" s="21"/>
      <c r="CQ41" s="21"/>
      <c r="CR41" s="21"/>
      <c r="CS41" s="21"/>
    </row>
    <row r="42" spans="3:97" ht="15.75">
      <c r="K42" s="25"/>
      <c r="M42" s="26"/>
      <c r="N42" s="25"/>
      <c r="P42" s="26"/>
      <c r="Q42" s="25"/>
      <c r="S42" s="26"/>
      <c r="T42" s="25"/>
      <c r="V42" s="26"/>
      <c r="W42" s="25"/>
      <c r="Y42" s="26"/>
      <c r="Z42" s="25"/>
      <c r="AB42" s="26"/>
      <c r="BN42" s="27"/>
      <c r="BO42" s="21"/>
      <c r="BP42" s="21"/>
      <c r="BQ42" s="21"/>
      <c r="BS42" s="21"/>
      <c r="BT42" s="21"/>
      <c r="BU42" s="21"/>
      <c r="CB42" s="21"/>
      <c r="CC42" s="21"/>
      <c r="CD42" s="21"/>
      <c r="CE42" s="21"/>
      <c r="CF42" s="21"/>
      <c r="CI42" s="22"/>
      <c r="CJ42" s="21"/>
      <c r="CK42" s="21"/>
      <c r="CL42" s="21"/>
      <c r="CM42" s="21"/>
      <c r="CQ42" s="21"/>
      <c r="CR42" s="21"/>
      <c r="CS42" s="21"/>
    </row>
    <row r="43" spans="3:97" ht="15.75">
      <c r="K43" s="25"/>
      <c r="M43" s="26"/>
      <c r="N43" s="25"/>
      <c r="P43" s="26"/>
      <c r="Q43" s="25"/>
      <c r="S43" s="26"/>
      <c r="T43" s="25"/>
      <c r="V43" s="26"/>
      <c r="W43" s="25"/>
      <c r="Y43" s="26"/>
      <c r="Z43" s="25"/>
      <c r="AB43" s="26"/>
      <c r="BN43" s="27"/>
      <c r="BO43" s="21"/>
      <c r="BP43" s="21"/>
      <c r="BQ43" s="21"/>
      <c r="BS43" s="21"/>
      <c r="BT43" s="21"/>
      <c r="BU43" s="21"/>
      <c r="CB43" s="21"/>
      <c r="CC43" s="21"/>
      <c r="CD43" s="21"/>
      <c r="CE43" s="21"/>
      <c r="CF43" s="21"/>
      <c r="CI43" s="22"/>
      <c r="CJ43" s="21"/>
      <c r="CK43" s="21"/>
      <c r="CL43" s="21"/>
      <c r="CM43" s="21"/>
      <c r="CQ43" s="21"/>
      <c r="CR43" s="21"/>
      <c r="CS43" s="21"/>
    </row>
    <row r="44" spans="3:97" ht="15.75">
      <c r="K44" s="25"/>
      <c r="M44" s="26"/>
      <c r="N44" s="25"/>
      <c r="P44" s="26"/>
      <c r="Q44" s="25"/>
      <c r="S44" s="26"/>
      <c r="T44" s="25"/>
      <c r="V44" s="26"/>
      <c r="W44" s="25"/>
      <c r="Y44" s="26"/>
      <c r="Z44" s="25"/>
      <c r="AB44" s="26"/>
      <c r="BN44" s="27"/>
      <c r="BO44" s="21"/>
      <c r="BP44" s="21"/>
      <c r="BQ44" s="21"/>
      <c r="BS44" s="21"/>
      <c r="BT44" s="21"/>
      <c r="BU44" s="21"/>
      <c r="CB44" s="21"/>
      <c r="CC44" s="21"/>
      <c r="CD44" s="21"/>
      <c r="CE44" s="21"/>
      <c r="CF44" s="21"/>
      <c r="CI44" s="22"/>
      <c r="CJ44" s="21"/>
      <c r="CK44" s="21"/>
      <c r="CL44" s="21"/>
      <c r="CM44" s="21"/>
      <c r="CQ44" s="21"/>
      <c r="CR44" s="21"/>
      <c r="CS44" s="21"/>
    </row>
    <row r="45" spans="3:97" ht="15.75">
      <c r="K45" s="25"/>
      <c r="M45" s="26"/>
      <c r="N45" s="25"/>
      <c r="P45" s="26"/>
      <c r="Q45" s="25"/>
      <c r="S45" s="26"/>
      <c r="T45" s="25"/>
      <c r="V45" s="26"/>
      <c r="W45" s="25"/>
      <c r="Y45" s="26"/>
      <c r="Z45" s="25"/>
      <c r="AB45" s="26"/>
      <c r="BN45" s="27"/>
      <c r="BO45" s="21"/>
      <c r="BP45" s="21"/>
      <c r="BQ45" s="21"/>
      <c r="BS45" s="21"/>
      <c r="BT45" s="21"/>
      <c r="BU45" s="21"/>
      <c r="CB45" s="21"/>
      <c r="CC45" s="21"/>
      <c r="CD45" s="21"/>
      <c r="CE45" s="21"/>
      <c r="CF45" s="21"/>
      <c r="CI45" s="22"/>
      <c r="CJ45" s="21"/>
      <c r="CK45" s="21"/>
      <c r="CL45" s="21"/>
      <c r="CM45" s="21"/>
      <c r="CQ45" s="21"/>
      <c r="CR45" s="21"/>
      <c r="CS45" s="21"/>
    </row>
    <row r="46" spans="3:97" ht="15.75">
      <c r="K46" s="25"/>
      <c r="M46" s="26"/>
      <c r="N46" s="25"/>
      <c r="P46" s="26"/>
      <c r="Q46" s="25"/>
      <c r="S46" s="26"/>
      <c r="T46" s="25"/>
      <c r="V46" s="26"/>
      <c r="W46" s="25"/>
      <c r="Y46" s="26"/>
      <c r="Z46" s="25"/>
      <c r="AB46" s="26"/>
      <c r="BN46" s="27"/>
      <c r="BO46" s="21"/>
      <c r="BP46" s="21"/>
      <c r="BQ46" s="21"/>
      <c r="BS46" s="21"/>
      <c r="BT46" s="21"/>
      <c r="BU46" s="21"/>
      <c r="CB46" s="21"/>
      <c r="CC46" s="21"/>
      <c r="CD46" s="21"/>
      <c r="CE46" s="21"/>
      <c r="CF46" s="21"/>
      <c r="CI46" s="22"/>
      <c r="CJ46" s="21"/>
      <c r="CK46" s="21"/>
      <c r="CL46" s="21"/>
      <c r="CM46" s="21"/>
      <c r="CQ46" s="21"/>
      <c r="CR46" s="21"/>
      <c r="CS46" s="21"/>
    </row>
    <row r="47" spans="3:97" ht="15.75">
      <c r="K47" s="25"/>
      <c r="M47" s="26"/>
      <c r="N47" s="25"/>
      <c r="P47" s="26"/>
      <c r="Q47" s="25"/>
      <c r="S47" s="26"/>
      <c r="T47" s="25"/>
      <c r="V47" s="26"/>
      <c r="W47" s="25"/>
      <c r="Y47" s="26"/>
      <c r="Z47" s="25"/>
      <c r="AB47" s="26"/>
      <c r="BN47" s="27"/>
      <c r="BO47" s="21"/>
      <c r="BP47" s="21"/>
      <c r="BQ47" s="21"/>
      <c r="BS47" s="21"/>
      <c r="BT47" s="21"/>
      <c r="BU47" s="21"/>
      <c r="CB47" s="21"/>
      <c r="CC47" s="21"/>
      <c r="CD47" s="21"/>
      <c r="CE47" s="21"/>
      <c r="CF47" s="21"/>
      <c r="CI47" s="22"/>
      <c r="CJ47" s="21"/>
      <c r="CK47" s="21"/>
      <c r="CL47" s="21"/>
      <c r="CM47" s="21"/>
      <c r="CQ47" s="21"/>
      <c r="CR47" s="21"/>
      <c r="CS47" s="21"/>
    </row>
    <row r="48" spans="3:97" ht="15.75">
      <c r="K48" s="25"/>
      <c r="M48" s="26"/>
      <c r="N48" s="25"/>
      <c r="P48" s="26"/>
      <c r="Q48" s="25"/>
      <c r="S48" s="26"/>
      <c r="T48" s="25"/>
      <c r="V48" s="26"/>
      <c r="W48" s="25"/>
      <c r="Y48" s="26"/>
      <c r="Z48" s="25"/>
      <c r="AB48" s="26"/>
      <c r="BN48" s="27"/>
      <c r="BO48" s="21"/>
      <c r="BP48" s="21"/>
      <c r="BQ48" s="21"/>
      <c r="BS48" s="21"/>
      <c r="BT48" s="21"/>
      <c r="BU48" s="21"/>
      <c r="CB48" s="21"/>
      <c r="CC48" s="21"/>
      <c r="CD48" s="21"/>
      <c r="CE48" s="21"/>
      <c r="CF48" s="21"/>
      <c r="CI48" s="22"/>
      <c r="CJ48" s="21"/>
      <c r="CK48" s="21"/>
      <c r="CL48" s="21"/>
      <c r="CM48" s="21"/>
      <c r="CQ48" s="21"/>
      <c r="CR48" s="21"/>
      <c r="CS48" s="21"/>
    </row>
    <row r="49" spans="3:97" ht="15.75">
      <c r="K49" s="25"/>
      <c r="M49" s="26"/>
      <c r="N49" s="25"/>
      <c r="P49" s="26"/>
      <c r="Q49" s="25"/>
      <c r="S49" s="26"/>
      <c r="T49" s="25"/>
      <c r="V49" s="26"/>
      <c r="W49" s="25"/>
      <c r="Y49" s="26"/>
      <c r="Z49" s="25"/>
      <c r="AB49" s="26"/>
      <c r="BN49" s="27"/>
      <c r="BO49" s="21"/>
      <c r="BP49" s="21"/>
      <c r="BQ49" s="21"/>
      <c r="BS49" s="21"/>
      <c r="BT49" s="21"/>
      <c r="BU49" s="21"/>
      <c r="CB49" s="21"/>
      <c r="CC49" s="21"/>
      <c r="CD49" s="21"/>
      <c r="CE49" s="21"/>
      <c r="CF49" s="21"/>
      <c r="CI49" s="22"/>
      <c r="CJ49" s="21"/>
      <c r="CK49" s="21"/>
      <c r="CL49" s="21"/>
      <c r="CM49" s="21"/>
      <c r="CQ49" s="21"/>
      <c r="CR49" s="21"/>
      <c r="CS49" s="21"/>
    </row>
    <row r="50" spans="3:97" ht="15.75">
      <c r="K50" s="25"/>
      <c r="M50" s="26"/>
      <c r="N50" s="25"/>
      <c r="P50" s="26"/>
      <c r="Q50" s="25"/>
      <c r="S50" s="26"/>
      <c r="T50" s="25"/>
      <c r="V50" s="26"/>
      <c r="W50" s="25"/>
      <c r="Y50" s="26"/>
      <c r="Z50" s="25"/>
      <c r="AB50" s="26"/>
      <c r="BN50" s="27"/>
      <c r="BO50" s="21"/>
      <c r="BP50" s="21"/>
      <c r="BQ50" s="21"/>
      <c r="BS50" s="21"/>
      <c r="BT50" s="21"/>
      <c r="BU50" s="21"/>
      <c r="CB50" s="21"/>
      <c r="CC50" s="21"/>
      <c r="CD50" s="21"/>
      <c r="CE50" s="21"/>
      <c r="CF50" s="21"/>
      <c r="CI50" s="22"/>
      <c r="CJ50" s="21"/>
      <c r="CK50" s="21"/>
      <c r="CL50" s="21"/>
      <c r="CM50" s="21"/>
      <c r="CQ50" s="21"/>
      <c r="CR50" s="21"/>
      <c r="CS50" s="21"/>
    </row>
    <row r="51" spans="3:97" ht="15.75">
      <c r="K51" s="25"/>
      <c r="M51" s="26"/>
      <c r="N51" s="25"/>
      <c r="P51" s="26"/>
      <c r="Q51" s="25"/>
      <c r="S51" s="26"/>
      <c r="T51" s="25"/>
      <c r="V51" s="26"/>
      <c r="W51" s="25"/>
      <c r="Y51" s="26"/>
      <c r="Z51" s="25"/>
      <c r="AB51" s="26"/>
      <c r="BN51" s="27"/>
      <c r="BO51" s="21"/>
      <c r="BP51" s="21"/>
      <c r="BQ51" s="21"/>
      <c r="BS51" s="21"/>
      <c r="BT51" s="21"/>
      <c r="BU51" s="21"/>
      <c r="CB51" s="21"/>
      <c r="CC51" s="21"/>
      <c r="CD51" s="21"/>
      <c r="CE51" s="21"/>
      <c r="CF51" s="21"/>
      <c r="CI51" s="22"/>
      <c r="CJ51" s="21"/>
      <c r="CK51" s="21"/>
      <c r="CL51" s="21"/>
      <c r="CM51" s="21"/>
      <c r="CQ51" s="21"/>
      <c r="CR51" s="21"/>
      <c r="CS51" s="21"/>
    </row>
    <row r="52" spans="3:97" ht="15.75">
      <c r="K52" s="25"/>
      <c r="M52" s="26"/>
      <c r="N52" s="25"/>
      <c r="P52" s="26"/>
      <c r="Q52" s="25"/>
      <c r="S52" s="26"/>
      <c r="T52" s="25"/>
      <c r="V52" s="26"/>
      <c r="W52" s="25"/>
      <c r="Y52" s="26"/>
      <c r="Z52" s="25"/>
      <c r="AB52" s="26"/>
      <c r="BN52" s="27"/>
      <c r="BO52" s="21"/>
      <c r="BP52" s="21"/>
      <c r="BQ52" s="21"/>
      <c r="BS52" s="21"/>
      <c r="BT52" s="21"/>
      <c r="BU52" s="21"/>
      <c r="CB52" s="21"/>
      <c r="CC52" s="21"/>
      <c r="CD52" s="21"/>
      <c r="CE52" s="21"/>
      <c r="CF52" s="21"/>
      <c r="CI52" s="22"/>
      <c r="CJ52" s="21"/>
      <c r="CK52" s="21"/>
      <c r="CL52" s="21"/>
      <c r="CM52" s="21"/>
      <c r="CQ52" s="21"/>
      <c r="CR52" s="21"/>
      <c r="CS52" s="21"/>
    </row>
    <row r="53" spans="3:97" ht="15.75">
      <c r="K53" s="25"/>
      <c r="M53" s="26"/>
      <c r="N53" s="25"/>
      <c r="P53" s="26"/>
      <c r="Q53" s="25"/>
      <c r="S53" s="26"/>
      <c r="T53" s="25"/>
      <c r="V53" s="26"/>
      <c r="W53" s="25"/>
      <c r="Y53" s="26"/>
      <c r="Z53" s="25"/>
      <c r="AB53" s="26"/>
      <c r="BN53" s="27"/>
      <c r="BO53" s="21"/>
      <c r="BP53" s="21"/>
      <c r="BQ53" s="21"/>
      <c r="BS53" s="21"/>
      <c r="BT53" s="21"/>
      <c r="BU53" s="21"/>
      <c r="CB53" s="21"/>
      <c r="CC53" s="21"/>
      <c r="CD53" s="21"/>
      <c r="CE53" s="21"/>
      <c r="CF53" s="21"/>
      <c r="CI53" s="22"/>
      <c r="CJ53" s="21"/>
      <c r="CK53" s="21"/>
      <c r="CL53" s="21"/>
      <c r="CM53" s="21"/>
      <c r="CQ53" s="21"/>
      <c r="CR53" s="21"/>
      <c r="CS53" s="21"/>
    </row>
    <row r="54" spans="3:97" ht="15.75">
      <c r="K54" s="25"/>
      <c r="M54" s="26"/>
      <c r="N54" s="25"/>
      <c r="P54" s="26"/>
      <c r="Q54" s="25"/>
      <c r="S54" s="26"/>
      <c r="T54" s="25"/>
      <c r="V54" s="26"/>
      <c r="W54" s="25"/>
      <c r="Y54" s="26"/>
      <c r="Z54" s="25"/>
      <c r="AB54" s="26"/>
      <c r="BN54" s="27"/>
      <c r="BO54" s="21"/>
      <c r="BP54" s="21"/>
      <c r="BQ54" s="21"/>
      <c r="BS54" s="21"/>
      <c r="BT54" s="21"/>
      <c r="BU54" s="21"/>
      <c r="CB54" s="21"/>
      <c r="CC54" s="21"/>
      <c r="CD54" s="21"/>
      <c r="CE54" s="21"/>
      <c r="CF54" s="21"/>
      <c r="CI54" s="22"/>
      <c r="CJ54" s="21"/>
      <c r="CK54" s="21"/>
      <c r="CL54" s="21"/>
      <c r="CM54" s="21"/>
      <c r="CQ54" s="21"/>
      <c r="CR54" s="21"/>
      <c r="CS54" s="21"/>
    </row>
    <row r="55" spans="3:97" ht="15.75">
      <c r="K55" s="25"/>
      <c r="M55" s="26"/>
      <c r="N55" s="25"/>
      <c r="P55" s="26"/>
      <c r="Q55" s="25"/>
      <c r="S55" s="26"/>
      <c r="T55" s="25"/>
      <c r="V55" s="26"/>
      <c r="W55" s="25"/>
      <c r="Y55" s="26"/>
      <c r="Z55" s="25"/>
      <c r="AB55" s="26"/>
      <c r="BN55" s="27"/>
      <c r="BO55" s="21"/>
      <c r="BP55" s="21"/>
      <c r="BQ55" s="21"/>
      <c r="BS55" s="21"/>
      <c r="BT55" s="21"/>
      <c r="BU55" s="21"/>
      <c r="CB55" s="21"/>
      <c r="CC55" s="21"/>
      <c r="CD55" s="21"/>
      <c r="CE55" s="21"/>
      <c r="CF55" s="21"/>
      <c r="CI55" s="22"/>
      <c r="CJ55" s="21"/>
      <c r="CK55" s="21"/>
      <c r="CL55" s="21"/>
      <c r="CM55" s="21"/>
      <c r="CQ55" s="21"/>
      <c r="CR55" s="21"/>
      <c r="CS55" s="21"/>
    </row>
    <row r="56" spans="3:97" ht="15.75">
      <c r="K56" s="25"/>
      <c r="M56" s="26"/>
      <c r="N56" s="25"/>
      <c r="P56" s="26"/>
      <c r="Q56" s="25"/>
      <c r="S56" s="26"/>
      <c r="T56" s="25"/>
      <c r="V56" s="26"/>
      <c r="W56" s="25"/>
      <c r="Y56" s="26"/>
      <c r="Z56" s="25"/>
      <c r="AB56" s="26"/>
      <c r="BN56" s="27"/>
      <c r="BO56" s="21"/>
      <c r="BP56" s="21"/>
      <c r="BQ56" s="21"/>
      <c r="BS56" s="21"/>
      <c r="BT56" s="21"/>
      <c r="BU56" s="21"/>
      <c r="CB56" s="21"/>
      <c r="CC56" s="21"/>
      <c r="CD56" s="21"/>
      <c r="CE56" s="21"/>
      <c r="CF56" s="21"/>
      <c r="CI56" s="22"/>
      <c r="CJ56" s="21"/>
      <c r="CK56" s="21"/>
      <c r="CL56" s="21"/>
      <c r="CM56" s="21"/>
      <c r="CQ56" s="21"/>
      <c r="CR56" s="21"/>
      <c r="CS56" s="21"/>
    </row>
    <row r="57" spans="3:97" ht="15.75">
      <c r="K57" s="25"/>
      <c r="M57" s="26"/>
      <c r="N57" s="25"/>
      <c r="P57" s="26"/>
      <c r="Q57" s="25"/>
      <c r="S57" s="26"/>
      <c r="T57" s="25"/>
      <c r="V57" s="26"/>
      <c r="W57" s="25"/>
      <c r="Y57" s="26"/>
      <c r="Z57" s="25"/>
      <c r="AB57" s="26"/>
      <c r="BN57" s="27"/>
      <c r="BO57" s="21"/>
      <c r="BP57" s="21"/>
      <c r="BQ57" s="21"/>
      <c r="BS57" s="21"/>
      <c r="BT57" s="21"/>
      <c r="BU57" s="21"/>
      <c r="CB57" s="21"/>
      <c r="CC57" s="21"/>
      <c r="CD57" s="21"/>
      <c r="CE57" s="21"/>
      <c r="CF57" s="21"/>
      <c r="CI57" s="22"/>
      <c r="CJ57" s="21"/>
      <c r="CK57" s="21"/>
      <c r="CL57" s="21"/>
      <c r="CM57" s="21"/>
      <c r="CQ57" s="21"/>
      <c r="CR57" s="21"/>
      <c r="CS57" s="21"/>
    </row>
    <row r="58" spans="3:97" ht="15.75">
      <c r="K58" s="25"/>
      <c r="M58" s="26"/>
      <c r="N58" s="25"/>
      <c r="P58" s="26"/>
      <c r="Q58" s="25"/>
      <c r="S58" s="26"/>
      <c r="T58" s="25"/>
      <c r="V58" s="26"/>
      <c r="W58" s="25"/>
      <c r="Y58" s="26"/>
      <c r="Z58" s="25"/>
      <c r="AB58" s="26"/>
      <c r="BN58" s="27"/>
      <c r="BO58" s="21"/>
      <c r="BP58" s="21"/>
      <c r="BQ58" s="21"/>
      <c r="BS58" s="21"/>
      <c r="BT58" s="21"/>
      <c r="BU58" s="21"/>
      <c r="CB58" s="21"/>
      <c r="CC58" s="21"/>
      <c r="CD58" s="21"/>
      <c r="CE58" s="21"/>
      <c r="CF58" s="21"/>
      <c r="CI58" s="22"/>
      <c r="CJ58" s="21"/>
      <c r="CK58" s="21"/>
      <c r="CL58" s="21"/>
      <c r="CM58" s="21"/>
      <c r="CQ58" s="21"/>
      <c r="CR58" s="21"/>
      <c r="CS58" s="21"/>
    </row>
    <row r="59" spans="3:97" ht="15.75">
      <c r="K59" s="25"/>
      <c r="M59" s="26"/>
      <c r="N59" s="25"/>
      <c r="P59" s="26"/>
      <c r="Q59" s="25"/>
      <c r="S59" s="26"/>
      <c r="T59" s="25"/>
      <c r="V59" s="26"/>
      <c r="W59" s="25"/>
      <c r="Y59" s="26"/>
      <c r="Z59" s="25"/>
      <c r="AB59" s="26"/>
      <c r="BN59" s="27"/>
      <c r="BO59" s="21"/>
      <c r="BP59" s="21"/>
      <c r="BQ59" s="21"/>
      <c r="BS59" s="21"/>
      <c r="BT59" s="21"/>
      <c r="BU59" s="21"/>
      <c r="CB59" s="21"/>
      <c r="CC59" s="21"/>
      <c r="CD59" s="21"/>
      <c r="CE59" s="21"/>
      <c r="CF59" s="21"/>
      <c r="CI59" s="22"/>
      <c r="CJ59" s="21"/>
      <c r="CK59" s="21"/>
      <c r="CL59" s="21"/>
      <c r="CM59" s="21"/>
      <c r="CQ59" s="21"/>
      <c r="CR59" s="21"/>
      <c r="CS59" s="21"/>
    </row>
    <row r="60" spans="3:97" ht="15.75">
      <c r="K60" s="25"/>
      <c r="M60" s="26"/>
      <c r="N60" s="25"/>
      <c r="P60" s="26"/>
      <c r="Q60" s="25"/>
      <c r="S60" s="26"/>
      <c r="T60" s="25"/>
      <c r="V60" s="26"/>
      <c r="W60" s="25"/>
      <c r="Y60" s="26"/>
      <c r="Z60" s="25"/>
      <c r="AB60" s="26"/>
      <c r="BN60" s="27"/>
      <c r="BO60" s="21"/>
      <c r="BP60" s="21"/>
      <c r="BQ60" s="21"/>
      <c r="BS60" s="21"/>
      <c r="BT60" s="21"/>
      <c r="BU60" s="21"/>
      <c r="CB60" s="21"/>
      <c r="CC60" s="21"/>
      <c r="CD60" s="21"/>
      <c r="CE60" s="21"/>
      <c r="CF60" s="21"/>
      <c r="CI60" s="22"/>
      <c r="CJ60" s="21"/>
      <c r="CK60" s="21"/>
      <c r="CL60" s="21"/>
      <c r="CM60" s="21"/>
      <c r="CQ60" s="21"/>
      <c r="CR60" s="21"/>
      <c r="CS60" s="21"/>
    </row>
    <row r="61" spans="3:97" ht="15.75">
      <c r="K61" s="25"/>
      <c r="M61" s="26"/>
      <c r="N61" s="25"/>
      <c r="P61" s="26"/>
      <c r="Q61" s="25"/>
      <c r="S61" s="26"/>
      <c r="T61" s="25"/>
      <c r="V61" s="26"/>
      <c r="W61" s="25"/>
      <c r="Y61" s="26"/>
      <c r="Z61" s="25"/>
      <c r="AB61" s="26"/>
      <c r="BN61" s="27"/>
      <c r="BO61" s="21"/>
      <c r="BP61" s="21"/>
      <c r="BQ61" s="21"/>
      <c r="BS61" s="21"/>
      <c r="BT61" s="21"/>
      <c r="BU61" s="21"/>
      <c r="CB61" s="21"/>
      <c r="CC61" s="21"/>
      <c r="CD61" s="21"/>
      <c r="CE61" s="21"/>
      <c r="CF61" s="21"/>
      <c r="CI61" s="22"/>
      <c r="CJ61" s="21"/>
      <c r="CK61" s="21"/>
      <c r="CL61" s="21"/>
      <c r="CM61" s="21"/>
      <c r="CQ61" s="21"/>
      <c r="CR61" s="21"/>
      <c r="CS61" s="21"/>
    </row>
    <row r="62" spans="3:97" ht="15.75">
      <c r="K62" s="25"/>
      <c r="M62" s="26"/>
      <c r="N62" s="25"/>
      <c r="P62" s="26"/>
      <c r="Q62" s="25"/>
      <c r="S62" s="26"/>
      <c r="T62" s="25"/>
      <c r="V62" s="26"/>
      <c r="W62" s="25"/>
      <c r="Y62" s="26"/>
      <c r="Z62" s="25"/>
      <c r="AB62" s="26"/>
      <c r="BN62" s="27"/>
      <c r="BO62" s="21"/>
      <c r="BP62" s="21"/>
      <c r="BQ62" s="21"/>
      <c r="BS62" s="21"/>
      <c r="BT62" s="21"/>
      <c r="BU62" s="21"/>
      <c r="CB62" s="21"/>
      <c r="CC62" s="21"/>
      <c r="CD62" s="21"/>
      <c r="CE62" s="21"/>
      <c r="CF62" s="21"/>
      <c r="CI62" s="22"/>
      <c r="CJ62" s="21"/>
      <c r="CK62" s="21"/>
      <c r="CL62" s="21"/>
      <c r="CM62" s="21"/>
      <c r="CQ62" s="21"/>
      <c r="CR62" s="21"/>
      <c r="CS62" s="21"/>
    </row>
    <row r="63" spans="3:97" ht="15.75">
      <c r="C63" s="18"/>
      <c r="D63" s="18"/>
      <c r="E63" s="18"/>
      <c r="K63" s="25"/>
      <c r="M63" s="26"/>
      <c r="N63" s="25"/>
      <c r="P63" s="26"/>
      <c r="Q63" s="25"/>
      <c r="S63" s="26"/>
      <c r="T63" s="25"/>
      <c r="V63" s="26"/>
      <c r="W63" s="25"/>
      <c r="Y63" s="26"/>
      <c r="Z63" s="25"/>
      <c r="AB63" s="26"/>
      <c r="BN63" s="28"/>
      <c r="BO63" s="21"/>
      <c r="BP63" s="21"/>
      <c r="BQ63" s="21"/>
      <c r="BS63" s="21"/>
      <c r="BT63" s="21"/>
      <c r="BU63" s="21"/>
      <c r="CB63" s="21"/>
      <c r="CC63" s="21"/>
      <c r="CD63" s="21"/>
      <c r="CE63" s="21"/>
      <c r="CF63" s="21"/>
      <c r="CI63" s="22"/>
      <c r="CJ63" s="21"/>
      <c r="CK63" s="21"/>
      <c r="CL63" s="21"/>
      <c r="CM63" s="21"/>
      <c r="CQ63" s="21"/>
      <c r="CR63" s="21"/>
      <c r="CS63" s="21"/>
    </row>
    <row r="64" spans="3:97" ht="15.75">
      <c r="C64" s="29"/>
      <c r="D64" s="29"/>
      <c r="E64" s="29"/>
      <c r="K64" s="25"/>
      <c r="M64" s="26"/>
      <c r="N64" s="25"/>
      <c r="P64" s="26"/>
      <c r="Q64" s="25"/>
      <c r="S64" s="26"/>
      <c r="T64" s="25"/>
      <c r="V64" s="26"/>
      <c r="W64" s="25"/>
      <c r="Y64" s="26"/>
      <c r="Z64" s="25"/>
      <c r="AB64" s="26"/>
    </row>
    <row r="65" spans="3:28" ht="15.75">
      <c r="C65" s="29"/>
      <c r="D65" s="29"/>
      <c r="E65" s="29"/>
      <c r="K65" s="25"/>
      <c r="M65" s="26"/>
      <c r="N65" s="25"/>
      <c r="P65" s="26"/>
      <c r="Q65" s="25"/>
      <c r="S65" s="26"/>
      <c r="T65" s="25"/>
      <c r="V65" s="26"/>
      <c r="W65" s="25"/>
      <c r="Y65" s="26"/>
      <c r="Z65" s="25"/>
      <c r="AB65" s="26"/>
    </row>
    <row r="66" spans="3:28" ht="15.75">
      <c r="C66" s="29"/>
      <c r="D66" s="29"/>
      <c r="E66" s="29"/>
      <c r="K66" s="25"/>
      <c r="M66" s="26"/>
      <c r="N66" s="25"/>
      <c r="P66" s="26"/>
      <c r="Q66" s="25"/>
      <c r="S66" s="26"/>
      <c r="T66" s="25"/>
      <c r="V66" s="26"/>
      <c r="W66" s="25"/>
      <c r="Y66" s="26"/>
      <c r="Z66" s="25"/>
      <c r="AB66" s="26"/>
    </row>
    <row r="67" spans="3:28" ht="15.75">
      <c r="C67" s="29"/>
      <c r="D67" s="29"/>
      <c r="E67" s="29"/>
      <c r="K67" s="25"/>
      <c r="M67" s="26"/>
      <c r="N67" s="25"/>
      <c r="P67" s="26"/>
      <c r="Q67" s="25"/>
      <c r="S67" s="26"/>
      <c r="T67" s="25"/>
      <c r="V67" s="26"/>
      <c r="W67" s="25"/>
      <c r="Y67" s="26"/>
      <c r="Z67" s="25"/>
      <c r="AB67" s="26"/>
    </row>
    <row r="68" spans="3:28" ht="15.75">
      <c r="C68" s="29"/>
      <c r="D68" s="29"/>
      <c r="E68" s="29"/>
      <c r="K68" s="25"/>
      <c r="M68" s="26"/>
      <c r="N68" s="25"/>
      <c r="P68" s="26"/>
      <c r="Q68" s="25"/>
      <c r="S68" s="26"/>
      <c r="T68" s="25"/>
      <c r="V68" s="26"/>
      <c r="W68" s="25"/>
      <c r="Y68" s="26"/>
      <c r="Z68" s="25"/>
      <c r="AB68" s="26"/>
    </row>
    <row r="69" spans="3:28" ht="15.75">
      <c r="C69" s="29"/>
      <c r="D69" s="29"/>
      <c r="E69" s="29"/>
      <c r="K69" s="25"/>
      <c r="M69" s="26"/>
      <c r="N69" s="25"/>
      <c r="P69" s="26"/>
      <c r="Q69" s="25"/>
      <c r="S69" s="26"/>
      <c r="T69" s="25"/>
      <c r="V69" s="26"/>
      <c r="W69" s="25"/>
      <c r="Y69" s="26"/>
      <c r="Z69" s="25"/>
      <c r="AB69" s="26"/>
    </row>
    <row r="70" spans="3:28" ht="15.75">
      <c r="C70" s="29"/>
      <c r="D70" s="29"/>
      <c r="E70" s="29"/>
      <c r="K70" s="25"/>
      <c r="M70" s="26"/>
      <c r="N70" s="25"/>
      <c r="P70" s="26"/>
      <c r="Q70" s="25"/>
      <c r="S70" s="26"/>
      <c r="T70" s="25"/>
      <c r="V70" s="26"/>
      <c r="W70" s="25"/>
      <c r="Y70" s="26"/>
      <c r="Z70" s="25"/>
      <c r="AB70" s="26"/>
    </row>
    <row r="71" spans="3:28" ht="15.75">
      <c r="C71" s="29"/>
      <c r="D71" s="29"/>
      <c r="E71" s="29"/>
      <c r="K71" s="25"/>
      <c r="M71" s="26"/>
      <c r="N71" s="25"/>
      <c r="P71" s="26"/>
      <c r="Q71" s="25"/>
      <c r="S71" s="26"/>
      <c r="T71" s="25"/>
      <c r="V71" s="26"/>
      <c r="W71" s="25"/>
      <c r="Y71" s="26"/>
      <c r="Z71" s="25"/>
      <c r="AB71" s="26"/>
    </row>
    <row r="72" spans="3:28" ht="15.75">
      <c r="C72" s="29"/>
      <c r="D72" s="29"/>
      <c r="E72" s="29"/>
      <c r="K72" s="25"/>
      <c r="M72" s="26"/>
      <c r="N72" s="25"/>
      <c r="P72" s="26"/>
      <c r="Q72" s="25"/>
      <c r="S72" s="26"/>
      <c r="T72" s="25"/>
      <c r="V72" s="26"/>
      <c r="W72" s="25"/>
      <c r="Y72" s="26"/>
      <c r="Z72" s="25"/>
      <c r="AB72" s="26"/>
    </row>
    <row r="73" spans="3:28" ht="15.75">
      <c r="C73" s="29"/>
      <c r="D73" s="29"/>
      <c r="E73" s="29"/>
      <c r="K73" s="25"/>
      <c r="M73" s="26"/>
      <c r="N73" s="25"/>
      <c r="P73" s="26"/>
      <c r="Q73" s="25"/>
      <c r="S73" s="26"/>
      <c r="T73" s="25"/>
      <c r="V73" s="26"/>
      <c r="W73" s="25"/>
      <c r="Y73" s="26"/>
      <c r="Z73" s="25"/>
      <c r="AB73" s="26"/>
    </row>
    <row r="74" spans="3:28" ht="15.75">
      <c r="C74" s="29"/>
      <c r="D74" s="29"/>
      <c r="E74" s="29"/>
      <c r="K74" s="25"/>
      <c r="M74" s="26"/>
      <c r="N74" s="25"/>
      <c r="P74" s="26"/>
      <c r="Q74" s="25"/>
      <c r="S74" s="26"/>
      <c r="T74" s="25"/>
      <c r="V74" s="26"/>
      <c r="W74" s="25"/>
      <c r="Y74" s="26"/>
      <c r="Z74" s="25"/>
      <c r="AB74" s="26"/>
    </row>
    <row r="75" spans="3:28" ht="15.75">
      <c r="C75" s="29"/>
      <c r="D75" s="29"/>
      <c r="E75" s="29"/>
      <c r="K75" s="25"/>
      <c r="M75" s="26"/>
      <c r="N75" s="25"/>
      <c r="P75" s="26"/>
      <c r="Q75" s="25"/>
      <c r="S75" s="26"/>
      <c r="T75" s="25"/>
      <c r="V75" s="26"/>
      <c r="W75" s="25"/>
      <c r="Y75" s="26"/>
      <c r="Z75" s="25"/>
      <c r="AB75" s="26"/>
    </row>
    <row r="76" spans="3:28" ht="15.75">
      <c r="C76" s="29"/>
      <c r="D76" s="29"/>
      <c r="E76" s="29"/>
      <c r="K76" s="25"/>
      <c r="M76" s="26"/>
      <c r="N76" s="25"/>
      <c r="P76" s="26"/>
      <c r="Q76" s="25"/>
      <c r="S76" s="26"/>
      <c r="T76" s="25"/>
      <c r="V76" s="26"/>
      <c r="W76" s="25"/>
      <c r="Y76" s="26"/>
      <c r="Z76" s="25"/>
      <c r="AB76" s="26"/>
    </row>
    <row r="77" spans="3:28" ht="15.75">
      <c r="C77" s="29"/>
      <c r="D77" s="29"/>
      <c r="E77" s="29"/>
      <c r="K77" s="25"/>
      <c r="M77" s="26"/>
      <c r="N77" s="25"/>
      <c r="P77" s="26"/>
      <c r="Q77" s="25"/>
      <c r="S77" s="26"/>
      <c r="T77" s="25"/>
      <c r="V77" s="26"/>
      <c r="W77" s="25"/>
      <c r="Y77" s="26"/>
      <c r="Z77" s="25"/>
      <c r="AB77" s="26"/>
    </row>
    <row r="78" spans="3:28" ht="15.75">
      <c r="C78" s="29"/>
      <c r="D78" s="29"/>
      <c r="E78" s="29"/>
      <c r="K78" s="25"/>
      <c r="M78" s="26"/>
      <c r="N78" s="25"/>
      <c r="P78" s="26"/>
      <c r="Q78" s="25"/>
      <c r="S78" s="26"/>
      <c r="T78" s="25"/>
      <c r="V78" s="26"/>
      <c r="W78" s="25"/>
      <c r="Y78" s="26"/>
      <c r="Z78" s="25"/>
      <c r="AB78" s="26"/>
    </row>
    <row r="79" spans="3:28" ht="15.75">
      <c r="C79" s="29"/>
      <c r="D79" s="29"/>
      <c r="E79" s="29"/>
      <c r="K79" s="25"/>
      <c r="M79" s="26"/>
      <c r="N79" s="25"/>
      <c r="P79" s="26"/>
      <c r="Q79" s="25"/>
      <c r="S79" s="26"/>
      <c r="T79" s="25"/>
      <c r="V79" s="26"/>
      <c r="W79" s="25"/>
      <c r="Y79" s="26"/>
      <c r="Z79" s="25"/>
      <c r="AB79" s="26"/>
    </row>
    <row r="80" spans="3:28" ht="15.75">
      <c r="C80" s="29"/>
      <c r="D80" s="29"/>
      <c r="E80" s="29"/>
      <c r="K80" s="25"/>
      <c r="M80" s="26"/>
      <c r="N80" s="25"/>
      <c r="P80" s="26"/>
      <c r="Q80" s="25"/>
      <c r="S80" s="26"/>
      <c r="T80" s="25"/>
      <c r="V80" s="26"/>
      <c r="W80" s="25"/>
      <c r="Y80" s="26"/>
      <c r="Z80" s="25"/>
      <c r="AB80" s="26"/>
    </row>
    <row r="81" spans="3:28" ht="15.75">
      <c r="C81" s="29"/>
      <c r="D81" s="29"/>
      <c r="E81" s="29"/>
      <c r="K81" s="25"/>
      <c r="M81" s="26"/>
      <c r="N81" s="25"/>
      <c r="P81" s="26"/>
      <c r="Q81" s="25"/>
      <c r="S81" s="26"/>
      <c r="T81" s="25"/>
      <c r="V81" s="26"/>
      <c r="W81" s="25"/>
      <c r="Y81" s="26"/>
      <c r="Z81" s="25"/>
      <c r="AB81" s="26"/>
    </row>
    <row r="82" spans="3:28" ht="15.75">
      <c r="C82" s="29"/>
      <c r="D82" s="29"/>
      <c r="E82" s="29"/>
      <c r="K82" s="25"/>
      <c r="M82" s="26"/>
      <c r="N82" s="25"/>
      <c r="P82" s="26"/>
      <c r="Q82" s="25"/>
      <c r="S82" s="26"/>
      <c r="T82" s="25"/>
      <c r="V82" s="26"/>
      <c r="W82" s="25"/>
      <c r="Y82" s="26"/>
      <c r="Z82" s="25"/>
      <c r="AB82" s="26"/>
    </row>
    <row r="83" spans="3:28" ht="15.75">
      <c r="C83" s="29"/>
      <c r="D83" s="29"/>
      <c r="E83" s="29"/>
      <c r="K83" s="25"/>
      <c r="M83" s="26"/>
      <c r="N83" s="25"/>
      <c r="P83" s="26"/>
      <c r="Q83" s="25"/>
      <c r="S83" s="26"/>
      <c r="T83" s="25"/>
      <c r="V83" s="26"/>
      <c r="W83" s="25"/>
      <c r="Y83" s="26"/>
      <c r="Z83" s="25"/>
      <c r="AB83" s="26"/>
    </row>
    <row r="84" spans="3:28" ht="15.75">
      <c r="C84" s="29"/>
      <c r="D84" s="29"/>
      <c r="E84" s="29"/>
      <c r="K84" s="25"/>
      <c r="M84" s="26"/>
      <c r="N84" s="25"/>
      <c r="P84" s="26"/>
      <c r="Q84" s="25"/>
      <c r="S84" s="26"/>
      <c r="T84" s="25"/>
      <c r="V84" s="26"/>
      <c r="W84" s="25"/>
      <c r="Y84" s="26"/>
      <c r="Z84" s="25"/>
      <c r="AB84" s="26"/>
    </row>
    <row r="85" spans="3:28" ht="15.75">
      <c r="C85" s="29"/>
      <c r="D85" s="29"/>
      <c r="E85" s="29"/>
      <c r="K85" s="25"/>
      <c r="M85" s="26"/>
      <c r="N85" s="25"/>
      <c r="P85" s="26"/>
      <c r="Q85" s="25"/>
      <c r="S85" s="26"/>
      <c r="T85" s="25"/>
      <c r="V85" s="26"/>
      <c r="W85" s="25"/>
      <c r="Y85" s="26"/>
      <c r="Z85" s="25"/>
      <c r="AB85" s="26"/>
    </row>
    <row r="86" spans="3:28" ht="15.75">
      <c r="C86" s="29"/>
      <c r="D86" s="29"/>
      <c r="E86" s="29"/>
      <c r="K86" s="25"/>
      <c r="M86" s="26"/>
      <c r="N86" s="25"/>
      <c r="P86" s="26"/>
      <c r="Q86" s="25"/>
      <c r="S86" s="26"/>
      <c r="T86" s="25"/>
      <c r="V86" s="26"/>
      <c r="W86" s="25"/>
      <c r="Y86" s="26"/>
      <c r="Z86" s="25"/>
      <c r="AB86" s="26"/>
    </row>
    <row r="87" spans="3:28" ht="15.75">
      <c r="C87" s="29"/>
      <c r="D87" s="29"/>
      <c r="E87" s="29"/>
      <c r="K87" s="25"/>
      <c r="M87" s="26"/>
      <c r="N87" s="25"/>
      <c r="P87" s="26"/>
      <c r="Q87" s="25"/>
      <c r="S87" s="26"/>
      <c r="T87" s="25"/>
      <c r="V87" s="26"/>
      <c r="W87" s="25"/>
      <c r="Y87" s="26"/>
      <c r="Z87" s="25"/>
      <c r="AB87" s="26"/>
    </row>
    <row r="88" spans="3:28" ht="15.75">
      <c r="C88" s="29"/>
      <c r="D88" s="29"/>
      <c r="E88" s="29"/>
      <c r="K88" s="25"/>
      <c r="M88" s="26"/>
      <c r="N88" s="25"/>
      <c r="P88" s="26"/>
      <c r="Q88" s="25"/>
      <c r="S88" s="26"/>
      <c r="T88" s="25"/>
      <c r="V88" s="26"/>
      <c r="W88" s="25"/>
      <c r="Y88" s="26"/>
      <c r="Z88" s="25"/>
      <c r="AB88" s="26"/>
    </row>
    <row r="89" spans="3:28" ht="15.75">
      <c r="C89" s="29"/>
      <c r="D89" s="29"/>
      <c r="E89" s="29"/>
      <c r="K89" s="25"/>
      <c r="M89" s="26"/>
      <c r="N89" s="25"/>
      <c r="P89" s="26"/>
      <c r="Q89" s="25"/>
      <c r="S89" s="26"/>
      <c r="T89" s="25"/>
      <c r="V89" s="26"/>
      <c r="W89" s="25"/>
      <c r="Y89" s="26"/>
      <c r="Z89" s="25"/>
      <c r="AB89" s="26"/>
    </row>
    <row r="90" spans="3:28" ht="15.75">
      <c r="C90" s="29"/>
      <c r="D90" s="29"/>
      <c r="E90" s="29"/>
      <c r="K90" s="25"/>
      <c r="M90" s="26"/>
      <c r="N90" s="25"/>
      <c r="P90" s="26"/>
      <c r="Q90" s="25"/>
      <c r="S90" s="26"/>
      <c r="T90" s="25"/>
      <c r="V90" s="26"/>
      <c r="W90" s="25"/>
      <c r="Y90" s="26"/>
      <c r="Z90" s="25"/>
      <c r="AB90" s="26"/>
    </row>
    <row r="91" spans="3:28" ht="15.75">
      <c r="C91" s="29"/>
      <c r="D91" s="29"/>
      <c r="E91" s="29"/>
      <c r="K91" s="25"/>
      <c r="M91" s="26"/>
      <c r="N91" s="25"/>
      <c r="P91" s="26"/>
      <c r="Q91" s="25"/>
      <c r="S91" s="26"/>
      <c r="T91" s="25"/>
      <c r="V91" s="26"/>
      <c r="W91" s="25"/>
      <c r="Y91" s="26"/>
      <c r="Z91" s="25"/>
      <c r="AB91" s="26"/>
    </row>
    <row r="92" spans="3:28" ht="15.75">
      <c r="C92" s="29"/>
      <c r="D92" s="29"/>
      <c r="E92" s="29"/>
      <c r="K92" s="25"/>
      <c r="M92" s="26"/>
      <c r="N92" s="25"/>
      <c r="P92" s="26"/>
      <c r="Q92" s="25"/>
      <c r="S92" s="26"/>
      <c r="T92" s="25"/>
      <c r="V92" s="26"/>
      <c r="W92" s="25"/>
      <c r="Y92" s="26"/>
      <c r="Z92" s="25"/>
      <c r="AB92" s="26"/>
    </row>
    <row r="93" spans="3:28" ht="15.75">
      <c r="C93" s="29"/>
      <c r="D93" s="29"/>
      <c r="E93" s="29"/>
      <c r="K93" s="25"/>
      <c r="M93" s="26"/>
      <c r="N93" s="25"/>
      <c r="P93" s="26"/>
      <c r="Q93" s="25"/>
      <c r="S93" s="26"/>
      <c r="T93" s="25"/>
      <c r="V93" s="26"/>
      <c r="W93" s="25"/>
      <c r="Y93" s="26"/>
      <c r="Z93" s="25"/>
      <c r="AB93" s="26"/>
    </row>
    <row r="94" spans="3:28" ht="15.75">
      <c r="C94" s="29"/>
      <c r="D94" s="29"/>
      <c r="E94" s="29"/>
      <c r="K94" s="25"/>
      <c r="M94" s="26"/>
      <c r="N94" s="25"/>
      <c r="P94" s="26"/>
      <c r="Q94" s="25"/>
      <c r="S94" s="26"/>
      <c r="T94" s="25"/>
      <c r="V94" s="26"/>
      <c r="W94" s="25"/>
      <c r="Y94" s="26"/>
      <c r="Z94" s="25"/>
      <c r="AB94" s="26"/>
    </row>
    <row r="95" spans="3:28" ht="15.75">
      <c r="C95" s="29"/>
      <c r="D95" s="29"/>
      <c r="E95" s="29"/>
      <c r="K95" s="25"/>
      <c r="M95" s="26"/>
      <c r="N95" s="25"/>
      <c r="P95" s="26"/>
      <c r="Q95" s="25"/>
      <c r="S95" s="26"/>
      <c r="T95" s="25"/>
      <c r="V95" s="26"/>
      <c r="W95" s="25"/>
      <c r="Y95" s="26"/>
      <c r="Z95" s="25"/>
      <c r="AB95" s="26"/>
    </row>
    <row r="96" spans="3:28" ht="15.75">
      <c r="C96" s="29"/>
      <c r="D96" s="29"/>
      <c r="E96" s="29"/>
      <c r="K96" s="25"/>
      <c r="M96" s="26"/>
      <c r="N96" s="25"/>
      <c r="P96" s="26"/>
      <c r="Q96" s="25"/>
      <c r="S96" s="26"/>
      <c r="T96" s="25"/>
      <c r="V96" s="26"/>
      <c r="W96" s="25"/>
      <c r="Y96" s="26"/>
      <c r="Z96" s="25"/>
      <c r="AB96" s="26"/>
    </row>
    <row r="97" spans="3:97" ht="15.75">
      <c r="C97" s="29"/>
      <c r="D97" s="29"/>
      <c r="E97" s="29"/>
      <c r="K97" s="25"/>
      <c r="M97" s="26"/>
      <c r="N97" s="25"/>
      <c r="P97" s="26"/>
      <c r="Q97" s="25"/>
      <c r="S97" s="26"/>
      <c r="T97" s="25"/>
      <c r="V97" s="26"/>
      <c r="W97" s="25"/>
      <c r="Y97" s="26"/>
      <c r="Z97" s="25"/>
      <c r="AB97" s="26"/>
    </row>
    <row r="98" spans="3:97" ht="15.75">
      <c r="C98" s="29"/>
      <c r="D98" s="29"/>
      <c r="E98" s="29"/>
      <c r="K98" s="25"/>
      <c r="M98" s="26"/>
      <c r="N98" s="25"/>
      <c r="P98" s="26"/>
      <c r="Q98" s="25"/>
      <c r="S98" s="26"/>
      <c r="T98" s="25"/>
      <c r="V98" s="26"/>
      <c r="W98" s="25"/>
      <c r="Y98" s="26"/>
      <c r="Z98" s="25"/>
      <c r="AB98" s="26"/>
    </row>
    <row r="99" spans="3:97" ht="15.75">
      <c r="C99" s="29"/>
      <c r="D99" s="29"/>
      <c r="E99" s="29"/>
      <c r="K99" s="25"/>
      <c r="M99" s="26"/>
      <c r="N99" s="25"/>
      <c r="P99" s="26"/>
      <c r="Q99" s="25"/>
      <c r="S99" s="26"/>
      <c r="T99" s="25"/>
      <c r="V99" s="26"/>
      <c r="W99" s="25"/>
      <c r="Y99" s="26"/>
      <c r="Z99" s="25"/>
      <c r="AB99" s="26"/>
    </row>
    <row r="100" spans="3:97" ht="15.75">
      <c r="C100" s="29"/>
      <c r="D100" s="29"/>
      <c r="E100" s="29"/>
      <c r="K100" s="25"/>
      <c r="M100" s="26"/>
      <c r="N100" s="25"/>
      <c r="P100" s="26"/>
      <c r="Q100" s="25"/>
      <c r="S100" s="26"/>
      <c r="T100" s="25"/>
      <c r="V100" s="26"/>
      <c r="W100" s="25"/>
      <c r="Y100" s="26"/>
      <c r="Z100" s="25"/>
      <c r="AB100" s="26"/>
    </row>
    <row r="101" spans="3:97" ht="15.75">
      <c r="C101" s="29"/>
      <c r="D101" s="29"/>
      <c r="E101" s="29"/>
      <c r="K101" s="25"/>
      <c r="M101" s="26"/>
      <c r="N101" s="25"/>
      <c r="P101" s="26"/>
      <c r="Q101" s="25"/>
      <c r="S101" s="26"/>
      <c r="T101" s="25"/>
      <c r="V101" s="26"/>
      <c r="W101" s="25"/>
      <c r="Y101" s="26"/>
      <c r="Z101" s="25"/>
      <c r="AB101" s="26"/>
    </row>
    <row r="102" spans="3:97" ht="15.75">
      <c r="C102" s="29"/>
      <c r="D102" s="29"/>
      <c r="E102" s="29"/>
      <c r="K102" s="25"/>
      <c r="M102" s="26"/>
      <c r="N102" s="25"/>
      <c r="P102" s="26"/>
      <c r="Q102" s="25"/>
      <c r="S102" s="26"/>
      <c r="T102" s="25"/>
      <c r="V102" s="26"/>
      <c r="W102" s="25"/>
      <c r="Y102" s="26"/>
      <c r="Z102" s="25"/>
      <c r="AB102" s="26"/>
    </row>
    <row r="103" spans="3:97" ht="15.75">
      <c r="C103" s="29"/>
      <c r="D103" s="29"/>
      <c r="E103" s="29"/>
      <c r="K103" s="25"/>
      <c r="M103" s="26"/>
      <c r="N103" s="25"/>
      <c r="P103" s="26"/>
      <c r="Q103" s="25"/>
      <c r="S103" s="26"/>
      <c r="T103" s="25"/>
      <c r="V103" s="26"/>
      <c r="W103" s="25"/>
      <c r="Y103" s="26"/>
      <c r="Z103" s="25"/>
      <c r="AB103" s="26"/>
    </row>
    <row r="104" spans="3:97" ht="15.75">
      <c r="C104" s="29"/>
      <c r="D104" s="29"/>
      <c r="E104" s="29"/>
      <c r="K104" s="25"/>
      <c r="M104" s="26"/>
      <c r="N104" s="25"/>
      <c r="P104" s="26"/>
      <c r="Q104" s="25"/>
      <c r="S104" s="26"/>
      <c r="T104" s="25"/>
      <c r="V104" s="26"/>
      <c r="W104" s="25"/>
      <c r="Y104" s="26"/>
      <c r="Z104" s="25"/>
      <c r="AB104" s="26"/>
    </row>
    <row r="105" spans="3:97" ht="15.75">
      <c r="C105" s="29"/>
      <c r="D105" s="29"/>
      <c r="E105" s="29"/>
      <c r="K105" s="25"/>
      <c r="M105" s="26"/>
      <c r="N105" s="25"/>
      <c r="P105" s="26"/>
      <c r="Q105" s="25"/>
      <c r="S105" s="26"/>
      <c r="T105" s="25"/>
      <c r="V105" s="26"/>
      <c r="W105" s="25"/>
      <c r="Y105" s="26"/>
      <c r="Z105" s="25"/>
      <c r="AB105" s="26"/>
    </row>
    <row r="106" spans="3:97" ht="15.75">
      <c r="C106" s="30"/>
      <c r="D106" s="30"/>
      <c r="E106" s="30"/>
      <c r="K106" s="25"/>
      <c r="M106" s="26"/>
      <c r="N106" s="25"/>
      <c r="P106" s="26"/>
      <c r="Q106" s="25"/>
      <c r="S106" s="26"/>
      <c r="T106" s="25"/>
      <c r="V106" s="26"/>
      <c r="W106" s="25"/>
      <c r="Y106" s="26"/>
      <c r="Z106" s="25"/>
      <c r="AB106" s="26"/>
    </row>
    <row r="107" spans="3:97" ht="15.75">
      <c r="C107" s="29"/>
      <c r="D107" s="29"/>
      <c r="E107" s="29"/>
      <c r="K107" s="25"/>
      <c r="M107" s="26"/>
      <c r="N107" s="25"/>
      <c r="P107" s="26"/>
      <c r="Q107" s="25"/>
      <c r="S107" s="26"/>
      <c r="T107" s="25"/>
      <c r="V107" s="26"/>
      <c r="W107" s="25"/>
      <c r="Y107" s="26"/>
      <c r="Z107" s="25"/>
      <c r="AB107" s="26"/>
    </row>
    <row r="108" spans="3:97" ht="15.75">
      <c r="C108" s="29"/>
      <c r="D108" s="29"/>
      <c r="E108" s="29"/>
      <c r="K108" s="25"/>
      <c r="M108" s="26"/>
      <c r="N108" s="25"/>
      <c r="P108" s="26"/>
      <c r="Q108" s="25"/>
      <c r="S108" s="26"/>
      <c r="T108" s="25"/>
      <c r="V108" s="26"/>
      <c r="W108" s="25"/>
      <c r="Y108" s="26"/>
      <c r="Z108" s="25"/>
      <c r="AB108" s="26"/>
    </row>
    <row r="109" spans="3:97" ht="15.75">
      <c r="C109" s="30"/>
      <c r="D109" s="30"/>
      <c r="E109" s="30"/>
      <c r="K109" s="25"/>
      <c r="M109" s="26"/>
      <c r="N109" s="25"/>
      <c r="P109" s="26"/>
      <c r="Q109" s="25"/>
      <c r="S109" s="26"/>
      <c r="T109" s="25"/>
      <c r="V109" s="26"/>
      <c r="W109" s="25"/>
      <c r="Y109" s="26"/>
      <c r="Z109" s="25"/>
      <c r="AB109" s="26"/>
    </row>
    <row r="110" spans="3:97" ht="15.75">
      <c r="C110" s="30"/>
      <c r="D110" s="30"/>
      <c r="E110" s="30"/>
      <c r="K110" s="25"/>
      <c r="M110" s="26"/>
      <c r="N110" s="25"/>
      <c r="P110" s="26"/>
      <c r="Q110" s="25"/>
      <c r="S110" s="26"/>
      <c r="T110" s="25"/>
      <c r="V110" s="26"/>
      <c r="W110" s="25"/>
      <c r="Y110" s="26"/>
      <c r="Z110" s="25"/>
      <c r="AB110" s="26"/>
    </row>
    <row r="111" spans="3:97" ht="15.75">
      <c r="C111" s="30"/>
      <c r="D111" s="30"/>
      <c r="E111" s="30"/>
      <c r="K111" s="25"/>
      <c r="M111" s="26"/>
      <c r="N111" s="25"/>
      <c r="P111" s="26"/>
      <c r="Q111" s="25"/>
      <c r="S111" s="26"/>
      <c r="T111" s="25"/>
      <c r="V111" s="26"/>
      <c r="W111" s="25"/>
      <c r="Y111" s="26"/>
      <c r="Z111" s="25"/>
      <c r="AB111" s="26"/>
    </row>
    <row r="112" spans="3:97" ht="15.75">
      <c r="K112" s="25"/>
      <c r="M112" s="26"/>
      <c r="N112" s="25"/>
      <c r="P112" s="26"/>
      <c r="Q112" s="25"/>
      <c r="S112" s="26"/>
      <c r="T112" s="25"/>
      <c r="V112" s="26"/>
      <c r="W112" s="25"/>
      <c r="Y112" s="26"/>
      <c r="Z112" s="25"/>
      <c r="AB112" s="26"/>
      <c r="BN112" s="24"/>
      <c r="BO112" s="21"/>
      <c r="BP112" s="21"/>
      <c r="BQ112" s="21"/>
      <c r="BS112" s="22"/>
      <c r="BT112" s="21"/>
      <c r="BU112" s="21"/>
      <c r="CB112" s="21"/>
      <c r="CC112" s="21"/>
      <c r="CD112" s="21"/>
      <c r="CE112" s="21"/>
      <c r="CF112" s="21"/>
      <c r="CI112" s="23"/>
      <c r="CJ112" s="21"/>
      <c r="CK112" s="21"/>
      <c r="CL112" s="21"/>
      <c r="CM112" s="21"/>
      <c r="CQ112" s="21"/>
      <c r="CR112" s="21"/>
      <c r="CS112" s="21"/>
    </row>
    <row r="113" spans="11:97" ht="15.75">
      <c r="K113" s="25"/>
      <c r="M113" s="26"/>
      <c r="N113" s="25"/>
      <c r="P113" s="26"/>
      <c r="Q113" s="25"/>
      <c r="S113" s="26"/>
      <c r="T113" s="25"/>
      <c r="V113" s="26"/>
      <c r="W113" s="25"/>
      <c r="Y113" s="26"/>
      <c r="Z113" s="25"/>
      <c r="AB113" s="26"/>
      <c r="BN113" s="24"/>
      <c r="BO113" s="21"/>
      <c r="BP113" s="21"/>
      <c r="BQ113" s="21"/>
      <c r="BS113" s="22"/>
      <c r="BT113" s="21"/>
      <c r="BU113" s="21"/>
      <c r="CB113" s="21"/>
      <c r="CC113" s="21"/>
      <c r="CD113" s="21"/>
      <c r="CE113" s="21"/>
      <c r="CF113" s="21"/>
      <c r="CI113" s="23"/>
      <c r="CJ113" s="21"/>
      <c r="CK113" s="21"/>
      <c r="CL113" s="21"/>
      <c r="CM113" s="21"/>
      <c r="CQ113" s="21"/>
      <c r="CR113" s="21"/>
      <c r="CS113" s="21"/>
    </row>
    <row r="114" spans="11:97" ht="15.75">
      <c r="K114" s="25"/>
      <c r="M114" s="26"/>
      <c r="N114" s="25"/>
      <c r="P114" s="26"/>
      <c r="Q114" s="25"/>
      <c r="S114" s="26"/>
      <c r="T114" s="25"/>
      <c r="V114" s="26"/>
      <c r="W114" s="25"/>
      <c r="Y114" s="26"/>
      <c r="Z114" s="25"/>
      <c r="AB114" s="26"/>
      <c r="BN114" s="24"/>
      <c r="BO114" s="21"/>
      <c r="BP114" s="21"/>
      <c r="BQ114" s="21"/>
      <c r="BS114" s="22"/>
      <c r="BT114" s="21"/>
      <c r="BU114" s="21"/>
      <c r="CB114" s="21"/>
      <c r="CC114" s="21"/>
      <c r="CD114" s="21"/>
      <c r="CE114" s="21"/>
      <c r="CF114" s="21"/>
      <c r="CI114" s="23"/>
      <c r="CJ114" s="21"/>
      <c r="CK114" s="21"/>
      <c r="CL114" s="21"/>
      <c r="CM114" s="21"/>
      <c r="CQ114" s="21"/>
      <c r="CR114" s="21"/>
      <c r="CS114" s="21"/>
    </row>
    <row r="115" spans="11:97" ht="15.75">
      <c r="K115" s="25"/>
      <c r="M115" s="26"/>
      <c r="N115" s="25"/>
      <c r="P115" s="26"/>
      <c r="Q115" s="25"/>
      <c r="S115" s="26"/>
      <c r="T115" s="25"/>
      <c r="V115" s="26"/>
      <c r="W115" s="25"/>
      <c r="Y115" s="26"/>
      <c r="Z115" s="25"/>
      <c r="AB115" s="26"/>
      <c r="BN115" s="24"/>
      <c r="BO115" s="21"/>
      <c r="BP115" s="21"/>
      <c r="BQ115" s="21"/>
      <c r="BS115" s="22"/>
      <c r="BT115" s="21"/>
      <c r="BU115" s="21"/>
      <c r="CB115" s="21"/>
      <c r="CC115" s="21"/>
      <c r="CD115" s="21"/>
      <c r="CE115" s="21"/>
      <c r="CF115" s="21"/>
      <c r="CI115" s="23"/>
      <c r="CJ115" s="21"/>
      <c r="CK115" s="21"/>
      <c r="CL115" s="21"/>
      <c r="CM115" s="21"/>
      <c r="CQ115" s="21"/>
      <c r="CR115" s="21"/>
      <c r="CS115" s="21"/>
    </row>
    <row r="116" spans="11:97" ht="15.75">
      <c r="K116" s="25"/>
      <c r="M116" s="26"/>
      <c r="N116" s="25"/>
      <c r="P116" s="26"/>
      <c r="Q116" s="25"/>
      <c r="S116" s="26"/>
      <c r="T116" s="25"/>
      <c r="V116" s="26"/>
      <c r="W116" s="25"/>
      <c r="Y116" s="26"/>
      <c r="Z116" s="25"/>
      <c r="AB116" s="26"/>
      <c r="BN116" s="24"/>
      <c r="BO116" s="21"/>
      <c r="BP116" s="21"/>
      <c r="BQ116" s="21"/>
      <c r="BS116" s="22"/>
      <c r="BT116" s="21"/>
      <c r="BU116" s="21"/>
      <c r="CB116" s="21"/>
      <c r="CC116" s="21"/>
      <c r="CD116" s="21"/>
      <c r="CE116" s="21"/>
      <c r="CF116" s="21"/>
      <c r="CI116" s="23"/>
      <c r="CJ116" s="21"/>
      <c r="CK116" s="21"/>
      <c r="CL116" s="21"/>
      <c r="CM116" s="21"/>
      <c r="CQ116" s="21"/>
      <c r="CR116" s="21"/>
      <c r="CS116" s="21"/>
    </row>
    <row r="117" spans="11:97" ht="15.75">
      <c r="K117" s="25"/>
      <c r="M117" s="26"/>
      <c r="N117" s="25"/>
      <c r="P117" s="26"/>
      <c r="Q117" s="25"/>
      <c r="S117" s="26"/>
      <c r="T117" s="25"/>
      <c r="V117" s="26"/>
      <c r="W117" s="25"/>
      <c r="Y117" s="26"/>
      <c r="Z117" s="25"/>
      <c r="AB117" s="26"/>
      <c r="BN117" s="24"/>
      <c r="BO117" s="21"/>
      <c r="BP117" s="21"/>
      <c r="BQ117" s="21"/>
      <c r="BS117" s="22"/>
      <c r="BT117" s="21"/>
      <c r="BU117" s="21"/>
      <c r="CB117" s="21"/>
      <c r="CC117" s="21"/>
      <c r="CD117" s="21"/>
      <c r="CE117" s="21"/>
      <c r="CF117" s="21"/>
      <c r="CI117" s="23"/>
      <c r="CJ117" s="21"/>
      <c r="CK117" s="21"/>
      <c r="CL117" s="21"/>
      <c r="CM117" s="21"/>
      <c r="CQ117" s="21"/>
      <c r="CR117" s="21"/>
      <c r="CS117" s="21"/>
    </row>
    <row r="118" spans="11:97" ht="15.75">
      <c r="K118" s="25"/>
      <c r="M118" s="26"/>
      <c r="N118" s="25"/>
      <c r="P118" s="26"/>
      <c r="Q118" s="25"/>
      <c r="S118" s="26"/>
      <c r="T118" s="25"/>
      <c r="V118" s="26"/>
      <c r="W118" s="25"/>
      <c r="Y118" s="26"/>
      <c r="Z118" s="25"/>
      <c r="AB118" s="26"/>
      <c r="BN118" s="24"/>
      <c r="BO118" s="21"/>
      <c r="BP118" s="21"/>
      <c r="BQ118" s="21"/>
      <c r="BS118" s="22"/>
      <c r="BT118" s="21"/>
      <c r="BU118" s="21"/>
      <c r="CB118" s="21"/>
      <c r="CC118" s="21"/>
      <c r="CD118" s="21"/>
      <c r="CE118" s="21"/>
      <c r="CF118" s="21"/>
      <c r="CI118" s="23"/>
      <c r="CJ118" s="21"/>
      <c r="CK118" s="21"/>
      <c r="CL118" s="21"/>
      <c r="CM118" s="21"/>
      <c r="CQ118" s="21"/>
      <c r="CR118" s="21"/>
      <c r="CS118" s="21"/>
    </row>
    <row r="119" spans="11:97" ht="15.75">
      <c r="K119" s="25"/>
      <c r="M119" s="26"/>
      <c r="N119" s="25"/>
      <c r="P119" s="26"/>
      <c r="Q119" s="25"/>
      <c r="S119" s="26"/>
      <c r="T119" s="25"/>
      <c r="V119" s="26"/>
      <c r="W119" s="25"/>
      <c r="Y119" s="26"/>
      <c r="Z119" s="25"/>
      <c r="AB119" s="26"/>
      <c r="BN119" s="24"/>
      <c r="BO119" s="21"/>
      <c r="BP119" s="21"/>
      <c r="BQ119" s="21"/>
      <c r="BS119" s="22"/>
      <c r="BT119" s="21"/>
      <c r="BU119" s="21"/>
      <c r="CB119" s="21"/>
      <c r="CC119" s="21"/>
      <c r="CD119" s="21"/>
      <c r="CE119" s="21"/>
      <c r="CF119" s="21"/>
      <c r="CI119" s="23"/>
      <c r="CJ119" s="21"/>
      <c r="CK119" s="21"/>
      <c r="CL119" s="21"/>
      <c r="CM119" s="21"/>
      <c r="CQ119" s="21"/>
      <c r="CR119" s="21"/>
      <c r="CS119" s="21"/>
    </row>
    <row r="120" spans="11:97" ht="15.75">
      <c r="K120" s="25"/>
      <c r="M120" s="26"/>
      <c r="N120" s="25"/>
      <c r="P120" s="26"/>
      <c r="Q120" s="25"/>
      <c r="S120" s="26"/>
      <c r="T120" s="25"/>
      <c r="V120" s="26"/>
      <c r="W120" s="25"/>
      <c r="Y120" s="26"/>
      <c r="Z120" s="25"/>
      <c r="AB120" s="26"/>
      <c r="BN120" s="24"/>
      <c r="BO120" s="21"/>
      <c r="BP120" s="21"/>
      <c r="BQ120" s="21"/>
      <c r="BS120" s="22"/>
      <c r="BT120" s="21"/>
      <c r="BU120" s="21"/>
      <c r="CB120" s="21"/>
      <c r="CC120" s="21"/>
      <c r="CD120" s="21"/>
      <c r="CE120" s="21"/>
      <c r="CF120" s="21"/>
      <c r="CI120" s="23"/>
      <c r="CJ120" s="21"/>
      <c r="CK120" s="21"/>
      <c r="CL120" s="21"/>
      <c r="CM120" s="21"/>
      <c r="CQ120" s="21"/>
      <c r="CR120" s="21"/>
      <c r="CS120" s="21"/>
    </row>
    <row r="121" spans="11:97" ht="15.75">
      <c r="K121" s="25"/>
      <c r="M121" s="26"/>
      <c r="N121" s="25"/>
      <c r="P121" s="26"/>
      <c r="Q121" s="25"/>
      <c r="S121" s="26"/>
      <c r="T121" s="25"/>
      <c r="V121" s="26"/>
      <c r="W121" s="25"/>
      <c r="Y121" s="26"/>
      <c r="Z121" s="25"/>
      <c r="AB121" s="26"/>
      <c r="BN121" s="24"/>
      <c r="BO121" s="21"/>
      <c r="BP121" s="21"/>
      <c r="BQ121" s="21"/>
      <c r="BS121" s="22"/>
      <c r="BT121" s="21"/>
      <c r="BU121" s="21"/>
      <c r="CB121" s="21"/>
      <c r="CC121" s="21"/>
      <c r="CD121" s="21"/>
      <c r="CE121" s="21"/>
      <c r="CF121" s="21"/>
      <c r="CI121" s="23"/>
      <c r="CJ121" s="21"/>
      <c r="CK121" s="21"/>
      <c r="CL121" s="21"/>
      <c r="CM121" s="21"/>
      <c r="CQ121" s="21"/>
      <c r="CR121" s="21"/>
      <c r="CS121" s="21"/>
    </row>
    <row r="122" spans="11:97" ht="15.75">
      <c r="K122" s="25"/>
      <c r="M122" s="26"/>
      <c r="N122" s="25"/>
      <c r="P122" s="26"/>
      <c r="Q122" s="25"/>
      <c r="S122" s="26"/>
      <c r="T122" s="25"/>
      <c r="V122" s="26"/>
      <c r="W122" s="25"/>
      <c r="Y122" s="26"/>
      <c r="Z122" s="25"/>
      <c r="AB122" s="26"/>
      <c r="BN122" s="24"/>
      <c r="BO122" s="21"/>
      <c r="BP122" s="21"/>
      <c r="BQ122" s="21"/>
      <c r="BS122" s="22"/>
      <c r="BT122" s="21"/>
      <c r="BU122" s="21"/>
      <c r="CB122" s="21"/>
      <c r="CC122" s="21"/>
      <c r="CD122" s="21"/>
      <c r="CE122" s="21"/>
      <c r="CF122" s="21"/>
      <c r="CI122" s="23"/>
      <c r="CJ122" s="21"/>
      <c r="CK122" s="21"/>
      <c r="CL122" s="21"/>
      <c r="CM122" s="21"/>
      <c r="CQ122" s="21"/>
      <c r="CR122" s="21"/>
      <c r="CS122" s="21"/>
    </row>
    <row r="123" spans="11:97" ht="15.75">
      <c r="K123" s="25"/>
      <c r="M123" s="26"/>
      <c r="N123" s="25"/>
      <c r="P123" s="26"/>
      <c r="Q123" s="25"/>
      <c r="S123" s="26"/>
      <c r="T123" s="25"/>
      <c r="V123" s="26"/>
      <c r="W123" s="25"/>
      <c r="Y123" s="26"/>
      <c r="Z123" s="25"/>
      <c r="AB123" s="26"/>
      <c r="BN123" s="24"/>
      <c r="BO123" s="21"/>
      <c r="BP123" s="21"/>
      <c r="BQ123" s="21"/>
      <c r="BS123" s="22"/>
      <c r="BT123" s="21"/>
      <c r="BU123" s="21"/>
      <c r="CB123" s="21"/>
      <c r="CC123" s="21"/>
      <c r="CD123" s="21"/>
      <c r="CE123" s="21"/>
      <c r="CF123" s="21"/>
      <c r="CI123" s="23"/>
      <c r="CJ123" s="21"/>
      <c r="CK123" s="21"/>
      <c r="CL123" s="21"/>
      <c r="CM123" s="21"/>
      <c r="CQ123" s="21"/>
      <c r="CR123" s="21"/>
      <c r="CS123" s="21"/>
    </row>
    <row r="124" spans="11:97" ht="15.75">
      <c r="K124" s="25"/>
      <c r="M124" s="26"/>
      <c r="N124" s="25"/>
      <c r="P124" s="26"/>
      <c r="Q124" s="25"/>
      <c r="S124" s="26"/>
      <c r="T124" s="25"/>
      <c r="V124" s="26"/>
      <c r="W124" s="25"/>
      <c r="Y124" s="26"/>
      <c r="Z124" s="25"/>
      <c r="AB124" s="26"/>
      <c r="BN124" s="24"/>
      <c r="BO124" s="21"/>
      <c r="BP124" s="21"/>
      <c r="BQ124" s="21"/>
      <c r="BS124" s="22"/>
      <c r="BT124" s="21"/>
      <c r="BU124" s="21"/>
      <c r="CB124" s="21"/>
      <c r="CC124" s="21"/>
      <c r="CD124" s="21"/>
      <c r="CE124" s="21"/>
      <c r="CF124" s="21"/>
      <c r="CI124" s="23"/>
      <c r="CJ124" s="21"/>
      <c r="CK124" s="21"/>
      <c r="CL124" s="21"/>
      <c r="CM124" s="21"/>
      <c r="CQ124" s="21"/>
      <c r="CR124" s="21"/>
      <c r="CS124" s="21"/>
    </row>
    <row r="125" spans="11:97" ht="15.75">
      <c r="K125" s="25"/>
      <c r="M125" s="26"/>
      <c r="N125" s="25"/>
      <c r="P125" s="26"/>
      <c r="Q125" s="25"/>
      <c r="S125" s="26"/>
      <c r="T125" s="25"/>
      <c r="V125" s="26"/>
      <c r="W125" s="25"/>
      <c r="Y125" s="26"/>
      <c r="Z125" s="25"/>
      <c r="AB125" s="26"/>
      <c r="BN125" s="24"/>
      <c r="BO125" s="21"/>
      <c r="BP125" s="21"/>
      <c r="BQ125" s="21"/>
      <c r="BS125" s="22"/>
      <c r="BT125" s="21"/>
      <c r="BU125" s="21"/>
      <c r="CB125" s="21"/>
      <c r="CC125" s="21"/>
      <c r="CD125" s="21"/>
      <c r="CE125" s="21"/>
      <c r="CF125" s="21"/>
      <c r="CI125" s="23"/>
      <c r="CJ125" s="21"/>
      <c r="CK125" s="21"/>
      <c r="CL125" s="21"/>
      <c r="CM125" s="21"/>
      <c r="CQ125" s="21"/>
      <c r="CR125" s="21"/>
      <c r="CS125" s="21"/>
    </row>
    <row r="126" spans="11:97" ht="15.75">
      <c r="K126" s="25"/>
      <c r="M126" s="26"/>
      <c r="N126" s="25"/>
      <c r="P126" s="26"/>
      <c r="Q126" s="25"/>
      <c r="S126" s="26"/>
      <c r="T126" s="25"/>
      <c r="V126" s="26"/>
      <c r="W126" s="25"/>
      <c r="Y126" s="26"/>
      <c r="Z126" s="25"/>
      <c r="AB126" s="26"/>
      <c r="BN126" s="24"/>
      <c r="BO126" s="21"/>
      <c r="BP126" s="21"/>
      <c r="BQ126" s="21"/>
      <c r="BS126" s="22"/>
      <c r="BT126" s="21"/>
      <c r="BU126" s="21"/>
      <c r="CB126" s="21"/>
      <c r="CC126" s="21"/>
      <c r="CD126" s="21"/>
      <c r="CE126" s="21"/>
      <c r="CF126" s="21"/>
      <c r="CI126" s="23"/>
      <c r="CJ126" s="21"/>
      <c r="CK126" s="21"/>
      <c r="CL126" s="21"/>
      <c r="CM126" s="21"/>
      <c r="CQ126" s="21"/>
      <c r="CR126" s="21"/>
      <c r="CS126" s="21"/>
    </row>
    <row r="127" spans="11:97" ht="15.75">
      <c r="K127" s="25"/>
      <c r="M127" s="26"/>
      <c r="N127" s="25"/>
      <c r="P127" s="26"/>
      <c r="Q127" s="25"/>
      <c r="S127" s="26"/>
      <c r="T127" s="25"/>
      <c r="V127" s="26"/>
      <c r="W127" s="25"/>
      <c r="Y127" s="26"/>
      <c r="Z127" s="25"/>
      <c r="AB127" s="26"/>
      <c r="BN127" s="24"/>
      <c r="BO127" s="21"/>
      <c r="BP127" s="21"/>
      <c r="BQ127" s="21"/>
      <c r="BS127" s="22"/>
      <c r="BT127" s="21"/>
      <c r="BU127" s="21"/>
      <c r="CB127" s="21"/>
      <c r="CC127" s="21"/>
      <c r="CD127" s="21"/>
      <c r="CE127" s="21"/>
      <c r="CF127" s="21"/>
      <c r="CI127" s="23"/>
      <c r="CJ127" s="21"/>
      <c r="CK127" s="21"/>
      <c r="CL127" s="21"/>
      <c r="CM127" s="21"/>
      <c r="CQ127" s="21"/>
      <c r="CR127" s="21"/>
      <c r="CS127" s="21"/>
    </row>
    <row r="128" spans="11:97" ht="15.75">
      <c r="K128" s="25"/>
      <c r="M128" s="26"/>
      <c r="N128" s="25"/>
      <c r="P128" s="26"/>
      <c r="Q128" s="25"/>
      <c r="S128" s="26"/>
      <c r="T128" s="25"/>
      <c r="V128" s="26"/>
      <c r="W128" s="25"/>
      <c r="Y128" s="26"/>
      <c r="Z128" s="25"/>
      <c r="AB128" s="26"/>
      <c r="BN128" s="24"/>
      <c r="BO128" s="21"/>
      <c r="BP128" s="21"/>
      <c r="BQ128" s="21"/>
      <c r="BS128" s="22"/>
      <c r="BT128" s="21"/>
      <c r="BU128" s="21"/>
      <c r="CB128" s="21"/>
      <c r="CC128" s="21"/>
      <c r="CD128" s="21"/>
      <c r="CE128" s="21"/>
      <c r="CF128" s="21"/>
      <c r="CI128" s="23"/>
      <c r="CJ128" s="21"/>
      <c r="CK128" s="21"/>
      <c r="CL128" s="21"/>
      <c r="CM128" s="21"/>
      <c r="CQ128" s="21"/>
      <c r="CR128" s="21"/>
      <c r="CS128" s="21"/>
    </row>
    <row r="129" spans="11:97" ht="15.75">
      <c r="K129" s="25"/>
      <c r="M129" s="26"/>
      <c r="N129" s="25"/>
      <c r="P129" s="26"/>
      <c r="Q129" s="25"/>
      <c r="S129" s="26"/>
      <c r="T129" s="25"/>
      <c r="V129" s="26"/>
      <c r="W129" s="25"/>
      <c r="Y129" s="26"/>
      <c r="Z129" s="25"/>
      <c r="AB129" s="26"/>
      <c r="BN129" s="24"/>
      <c r="BO129" s="21"/>
      <c r="BP129" s="21"/>
      <c r="BQ129" s="21"/>
      <c r="BS129" s="22"/>
      <c r="BT129" s="21"/>
      <c r="BU129" s="21"/>
      <c r="CB129" s="21"/>
      <c r="CC129" s="21"/>
      <c r="CD129" s="21"/>
      <c r="CE129" s="21"/>
      <c r="CF129" s="21"/>
      <c r="CI129" s="23"/>
      <c r="CJ129" s="21"/>
      <c r="CK129" s="21"/>
      <c r="CL129" s="21"/>
      <c r="CM129" s="21"/>
      <c r="CQ129" s="21"/>
      <c r="CR129" s="21"/>
      <c r="CS129" s="21"/>
    </row>
    <row r="130" spans="11:97" ht="15.75">
      <c r="K130" s="25"/>
      <c r="M130" s="26"/>
      <c r="N130" s="25"/>
      <c r="P130" s="26"/>
      <c r="Q130" s="25"/>
      <c r="S130" s="26"/>
      <c r="T130" s="25"/>
      <c r="V130" s="26"/>
      <c r="W130" s="25"/>
      <c r="Y130" s="26"/>
      <c r="Z130" s="25"/>
      <c r="AB130" s="26"/>
      <c r="BN130" s="24"/>
      <c r="BO130" s="21"/>
      <c r="BP130" s="21"/>
      <c r="BQ130" s="21"/>
      <c r="BS130" s="22"/>
      <c r="BT130" s="21"/>
      <c r="BU130" s="21"/>
      <c r="CB130" s="21"/>
      <c r="CC130" s="21"/>
      <c r="CD130" s="21"/>
      <c r="CE130" s="21"/>
      <c r="CF130" s="21"/>
      <c r="CI130" s="23"/>
      <c r="CJ130" s="21"/>
      <c r="CK130" s="21"/>
      <c r="CL130" s="21"/>
      <c r="CM130" s="21"/>
      <c r="CQ130" s="21"/>
      <c r="CR130" s="21"/>
      <c r="CS130" s="21"/>
    </row>
    <row r="131" spans="11:97" ht="15.75">
      <c r="K131" s="25"/>
      <c r="M131" s="26"/>
      <c r="N131" s="25"/>
      <c r="P131" s="26"/>
      <c r="Q131" s="25"/>
      <c r="S131" s="26"/>
      <c r="T131" s="25"/>
      <c r="V131" s="26"/>
      <c r="W131" s="25"/>
      <c r="Y131" s="26"/>
      <c r="Z131" s="25"/>
      <c r="AB131" s="26"/>
      <c r="BN131" s="24"/>
      <c r="BO131" s="21"/>
      <c r="BP131" s="21"/>
      <c r="BQ131" s="21"/>
      <c r="BS131" s="22"/>
      <c r="BT131" s="21"/>
      <c r="BU131" s="21"/>
      <c r="CB131" s="21"/>
      <c r="CC131" s="21"/>
      <c r="CD131" s="21"/>
      <c r="CE131" s="21"/>
      <c r="CF131" s="21"/>
      <c r="CI131" s="23"/>
      <c r="CJ131" s="21"/>
      <c r="CK131" s="21"/>
      <c r="CL131" s="21"/>
      <c r="CM131" s="21"/>
      <c r="CQ131" s="21"/>
      <c r="CR131" s="21"/>
      <c r="CS131" s="21"/>
    </row>
    <row r="132" spans="11:97" ht="15.75">
      <c r="K132" s="25"/>
      <c r="M132" s="26"/>
      <c r="N132" s="25"/>
      <c r="P132" s="26"/>
      <c r="Q132" s="25"/>
      <c r="S132" s="26"/>
      <c r="T132" s="25"/>
      <c r="V132" s="26"/>
      <c r="W132" s="25"/>
      <c r="Y132" s="26"/>
      <c r="Z132" s="25"/>
      <c r="AB132" s="26"/>
      <c r="BN132" s="24"/>
      <c r="BO132" s="21"/>
      <c r="BP132" s="21"/>
      <c r="BQ132" s="21"/>
      <c r="BS132" s="22"/>
      <c r="BT132" s="21"/>
      <c r="BU132" s="21"/>
      <c r="CB132" s="21"/>
      <c r="CC132" s="21"/>
      <c r="CD132" s="21"/>
      <c r="CE132" s="21"/>
      <c r="CF132" s="21"/>
      <c r="CI132" s="23"/>
      <c r="CJ132" s="21"/>
      <c r="CK132" s="21"/>
      <c r="CL132" s="21"/>
      <c r="CM132" s="21"/>
      <c r="CQ132" s="21"/>
      <c r="CR132" s="21"/>
      <c r="CS132" s="21"/>
    </row>
    <row r="133" spans="11:97" ht="15.75">
      <c r="K133" s="25"/>
      <c r="M133" s="26"/>
      <c r="N133" s="25"/>
      <c r="P133" s="26"/>
      <c r="Q133" s="25"/>
      <c r="S133" s="26"/>
      <c r="T133" s="25"/>
      <c r="V133" s="26"/>
      <c r="W133" s="25"/>
      <c r="Y133" s="26"/>
      <c r="Z133" s="25"/>
      <c r="AB133" s="26"/>
      <c r="BN133" s="24"/>
      <c r="BO133" s="21"/>
      <c r="BP133" s="21"/>
      <c r="BQ133" s="21"/>
      <c r="BS133" s="22"/>
      <c r="BT133" s="21"/>
      <c r="BU133" s="21"/>
      <c r="CB133" s="21"/>
      <c r="CC133" s="21"/>
      <c r="CD133" s="21"/>
      <c r="CE133" s="21"/>
      <c r="CF133" s="21"/>
      <c r="CI133" s="23"/>
      <c r="CJ133" s="21"/>
      <c r="CK133" s="21"/>
      <c r="CL133" s="21"/>
      <c r="CM133" s="21"/>
      <c r="CQ133" s="21"/>
      <c r="CR133" s="21"/>
      <c r="CS133" s="21"/>
    </row>
    <row r="134" spans="11:97" ht="15.75">
      <c r="K134" s="25"/>
      <c r="M134" s="26"/>
      <c r="N134" s="25"/>
      <c r="P134" s="26"/>
      <c r="Q134" s="25"/>
      <c r="S134" s="26"/>
      <c r="T134" s="25"/>
      <c r="V134" s="26"/>
      <c r="W134" s="25"/>
      <c r="Y134" s="26"/>
      <c r="Z134" s="25"/>
      <c r="AB134" s="26"/>
      <c r="BN134" s="24"/>
      <c r="BO134" s="21"/>
      <c r="BP134" s="21"/>
      <c r="BQ134" s="21"/>
      <c r="BS134" s="22"/>
      <c r="BT134" s="21"/>
      <c r="BU134" s="21"/>
      <c r="CB134" s="21"/>
      <c r="CC134" s="21"/>
      <c r="CD134" s="21"/>
      <c r="CE134" s="21"/>
      <c r="CF134" s="21"/>
      <c r="CI134" s="23"/>
      <c r="CJ134" s="21"/>
      <c r="CK134" s="21"/>
      <c r="CL134" s="21"/>
      <c r="CM134" s="21"/>
      <c r="CQ134" s="21"/>
      <c r="CR134" s="21"/>
      <c r="CS134" s="21"/>
    </row>
    <row r="135" spans="11:97" ht="15.75">
      <c r="K135" s="25"/>
      <c r="M135" s="26"/>
      <c r="N135" s="25"/>
      <c r="P135" s="26"/>
      <c r="Q135" s="25"/>
      <c r="S135" s="26"/>
      <c r="T135" s="25"/>
      <c r="V135" s="26"/>
      <c r="W135" s="25"/>
      <c r="Y135" s="26"/>
      <c r="Z135" s="25"/>
      <c r="AB135" s="26"/>
      <c r="BN135" s="24"/>
      <c r="BO135" s="21"/>
      <c r="BP135" s="21"/>
      <c r="BQ135" s="21"/>
      <c r="BS135" s="22"/>
      <c r="BT135" s="21"/>
      <c r="BU135" s="21"/>
      <c r="CB135" s="21"/>
      <c r="CC135" s="21"/>
      <c r="CD135" s="21"/>
      <c r="CE135" s="21"/>
      <c r="CF135" s="21"/>
      <c r="CI135" s="23"/>
      <c r="CJ135" s="21"/>
      <c r="CK135" s="21"/>
      <c r="CL135" s="21"/>
      <c r="CM135" s="21"/>
      <c r="CQ135" s="21"/>
      <c r="CR135" s="21"/>
      <c r="CS135" s="21"/>
    </row>
    <row r="136" spans="11:97" ht="15.75">
      <c r="K136" s="25"/>
      <c r="M136" s="26"/>
      <c r="N136" s="25"/>
      <c r="P136" s="26"/>
      <c r="Q136" s="25"/>
      <c r="S136" s="26"/>
      <c r="T136" s="25"/>
      <c r="V136" s="26"/>
      <c r="W136" s="25"/>
      <c r="Y136" s="26"/>
      <c r="Z136" s="25"/>
      <c r="AB136" s="26"/>
      <c r="BN136" s="24"/>
      <c r="BO136" s="21"/>
      <c r="BP136" s="21"/>
      <c r="BQ136" s="21"/>
      <c r="BS136" s="22"/>
      <c r="BT136" s="21"/>
      <c r="BU136" s="21"/>
      <c r="CB136" s="21"/>
      <c r="CC136" s="21"/>
      <c r="CD136" s="21"/>
      <c r="CE136" s="21"/>
      <c r="CF136" s="21"/>
      <c r="CI136" s="23"/>
      <c r="CJ136" s="21"/>
      <c r="CK136" s="21"/>
      <c r="CL136" s="21"/>
      <c r="CM136" s="21"/>
      <c r="CQ136" s="21"/>
      <c r="CR136" s="21"/>
      <c r="CS136" s="21"/>
    </row>
    <row r="137" spans="11:97" ht="15.75">
      <c r="K137" s="25"/>
      <c r="M137" s="26"/>
      <c r="N137" s="25"/>
      <c r="P137" s="26"/>
      <c r="Q137" s="25"/>
      <c r="S137" s="26"/>
      <c r="T137" s="25"/>
      <c r="V137" s="26"/>
      <c r="W137" s="25"/>
      <c r="Y137" s="26"/>
      <c r="Z137" s="25"/>
      <c r="AB137" s="26"/>
      <c r="BN137" s="24"/>
      <c r="BO137" s="21"/>
      <c r="BP137" s="21"/>
      <c r="BQ137" s="21"/>
      <c r="BS137" s="22"/>
      <c r="BT137" s="21"/>
      <c r="BU137" s="21"/>
      <c r="CB137" s="21"/>
      <c r="CC137" s="21"/>
      <c r="CD137" s="21"/>
      <c r="CE137" s="21"/>
      <c r="CF137" s="21"/>
      <c r="CI137" s="23"/>
      <c r="CJ137" s="21"/>
      <c r="CK137" s="21"/>
      <c r="CL137" s="21"/>
      <c r="CM137" s="21"/>
      <c r="CQ137" s="21"/>
      <c r="CR137" s="21"/>
      <c r="CS137" s="21"/>
    </row>
    <row r="138" spans="11:97" ht="15.75">
      <c r="K138" s="25"/>
      <c r="M138" s="26"/>
      <c r="N138" s="25"/>
      <c r="P138" s="26"/>
      <c r="Q138" s="25"/>
      <c r="S138" s="26"/>
      <c r="T138" s="25"/>
      <c r="V138" s="26"/>
      <c r="W138" s="25"/>
      <c r="Y138" s="26"/>
      <c r="Z138" s="25"/>
      <c r="AB138" s="26"/>
      <c r="BN138" s="24"/>
      <c r="BO138" s="21"/>
      <c r="BP138" s="21"/>
      <c r="BQ138" s="21"/>
      <c r="BS138" s="22"/>
      <c r="BT138" s="21"/>
      <c r="BU138" s="21"/>
      <c r="CB138" s="21"/>
      <c r="CC138" s="21"/>
      <c r="CD138" s="21"/>
      <c r="CE138" s="21"/>
      <c r="CF138" s="21"/>
      <c r="CI138" s="23"/>
      <c r="CJ138" s="21"/>
      <c r="CK138" s="21"/>
      <c r="CL138" s="21"/>
      <c r="CM138" s="21"/>
      <c r="CQ138" s="21"/>
      <c r="CR138" s="21"/>
      <c r="CS138" s="21"/>
    </row>
    <row r="139" spans="11:97" ht="15.75">
      <c r="K139" s="25"/>
      <c r="M139" s="26"/>
      <c r="N139" s="25"/>
      <c r="P139" s="26"/>
      <c r="Q139" s="25"/>
      <c r="S139" s="26"/>
      <c r="T139" s="25"/>
      <c r="V139" s="26"/>
      <c r="W139" s="25"/>
      <c r="Y139" s="26"/>
      <c r="Z139" s="25"/>
      <c r="AB139" s="26"/>
      <c r="BN139" s="24"/>
      <c r="BO139" s="21"/>
      <c r="BP139" s="21"/>
      <c r="BQ139" s="21"/>
      <c r="BS139" s="22"/>
      <c r="BT139" s="21"/>
      <c r="BU139" s="21"/>
      <c r="CB139" s="21"/>
      <c r="CC139" s="21"/>
      <c r="CD139" s="21"/>
      <c r="CE139" s="21"/>
      <c r="CF139" s="21"/>
      <c r="CI139" s="23"/>
      <c r="CJ139" s="21"/>
      <c r="CK139" s="21"/>
      <c r="CL139" s="21"/>
      <c r="CM139" s="21"/>
      <c r="CQ139" s="21"/>
      <c r="CR139" s="21"/>
      <c r="CS139" s="21"/>
    </row>
    <row r="140" spans="11:97" ht="15.75">
      <c r="K140" s="25"/>
      <c r="M140" s="26"/>
      <c r="N140" s="25"/>
      <c r="P140" s="26"/>
      <c r="Q140" s="25"/>
      <c r="S140" s="26"/>
      <c r="T140" s="25"/>
      <c r="V140" s="26"/>
      <c r="W140" s="25"/>
      <c r="Y140" s="26"/>
      <c r="Z140" s="25"/>
      <c r="AB140" s="26"/>
      <c r="BN140" s="24"/>
      <c r="BO140" s="21"/>
      <c r="BP140" s="21"/>
      <c r="BQ140" s="21"/>
      <c r="BS140" s="22"/>
      <c r="BT140" s="21"/>
      <c r="BU140" s="21"/>
      <c r="CB140" s="21"/>
      <c r="CC140" s="21"/>
      <c r="CD140" s="21"/>
      <c r="CE140" s="21"/>
      <c r="CF140" s="21"/>
      <c r="CI140" s="23"/>
      <c r="CJ140" s="21"/>
      <c r="CK140" s="21"/>
      <c r="CL140" s="21"/>
      <c r="CM140" s="21"/>
      <c r="CQ140" s="21"/>
      <c r="CR140" s="21"/>
      <c r="CS140" s="21"/>
    </row>
    <row r="141" spans="11:97" ht="15.75">
      <c r="K141" s="25"/>
      <c r="M141" s="26"/>
      <c r="N141" s="25"/>
      <c r="P141" s="26"/>
      <c r="Q141" s="25"/>
      <c r="S141" s="26"/>
      <c r="T141" s="25"/>
      <c r="V141" s="26"/>
      <c r="W141" s="25"/>
      <c r="Y141" s="26"/>
      <c r="Z141" s="25"/>
      <c r="AB141" s="26"/>
      <c r="BN141" s="24"/>
      <c r="BO141" s="21"/>
      <c r="BP141" s="21"/>
      <c r="BQ141" s="21"/>
      <c r="BS141" s="22"/>
      <c r="BT141" s="21"/>
      <c r="BU141" s="21"/>
      <c r="CB141" s="21"/>
      <c r="CC141" s="21"/>
      <c r="CD141" s="21"/>
      <c r="CE141" s="21"/>
      <c r="CF141" s="21"/>
      <c r="CI141" s="23"/>
      <c r="CJ141" s="21"/>
      <c r="CK141" s="21"/>
      <c r="CL141" s="21"/>
      <c r="CM141" s="21"/>
      <c r="CQ141" s="21"/>
      <c r="CR141" s="21"/>
      <c r="CS141" s="21"/>
    </row>
    <row r="142" spans="11:97" ht="15.75">
      <c r="K142" s="25"/>
      <c r="M142" s="26"/>
      <c r="N142" s="25"/>
      <c r="P142" s="26"/>
      <c r="Q142" s="25"/>
      <c r="S142" s="26"/>
      <c r="T142" s="25"/>
      <c r="V142" s="26"/>
      <c r="W142" s="25"/>
      <c r="Y142" s="26"/>
      <c r="Z142" s="25"/>
      <c r="AB142" s="26"/>
      <c r="BN142" s="24"/>
      <c r="BO142" s="21"/>
      <c r="BP142" s="21"/>
      <c r="BQ142" s="21"/>
      <c r="BS142" s="22"/>
      <c r="BT142" s="21"/>
      <c r="BU142" s="21"/>
      <c r="CB142" s="21"/>
      <c r="CC142" s="21"/>
      <c r="CD142" s="21"/>
      <c r="CE142" s="21"/>
      <c r="CF142" s="21"/>
      <c r="CI142" s="23"/>
      <c r="CJ142" s="21"/>
      <c r="CK142" s="21"/>
      <c r="CL142" s="21"/>
      <c r="CM142" s="21"/>
      <c r="CQ142" s="21"/>
      <c r="CR142" s="21"/>
      <c r="CS142" s="21"/>
    </row>
    <row r="143" spans="11:97" ht="15.75">
      <c r="K143" s="25"/>
      <c r="M143" s="26"/>
      <c r="N143" s="25"/>
      <c r="P143" s="26"/>
      <c r="Q143" s="25"/>
      <c r="S143" s="26"/>
      <c r="T143" s="25"/>
      <c r="V143" s="26"/>
      <c r="W143" s="25"/>
      <c r="Y143" s="26"/>
      <c r="Z143" s="25"/>
      <c r="AB143" s="26"/>
      <c r="BN143" s="24"/>
      <c r="BO143" s="21"/>
      <c r="BP143" s="21"/>
      <c r="BQ143" s="21"/>
      <c r="BS143" s="22"/>
      <c r="BT143" s="21"/>
      <c r="BU143" s="21"/>
      <c r="CB143" s="21"/>
      <c r="CC143" s="21"/>
      <c r="CD143" s="21"/>
      <c r="CE143" s="21"/>
      <c r="CF143" s="21"/>
      <c r="CI143" s="23"/>
      <c r="CJ143" s="21"/>
      <c r="CK143" s="21"/>
      <c r="CL143" s="21"/>
      <c r="CM143" s="21"/>
      <c r="CQ143" s="21"/>
      <c r="CR143" s="21"/>
      <c r="CS143" s="21"/>
    </row>
    <row r="144" spans="11:97" ht="15.75">
      <c r="K144" s="25"/>
      <c r="M144" s="26"/>
      <c r="N144" s="25"/>
      <c r="P144" s="26"/>
      <c r="Q144" s="25"/>
      <c r="S144" s="26"/>
      <c r="T144" s="25"/>
      <c r="V144" s="26"/>
      <c r="W144" s="25"/>
      <c r="Y144" s="26"/>
      <c r="Z144" s="25"/>
      <c r="AB144" s="26"/>
      <c r="BN144" s="24"/>
      <c r="BO144" s="21"/>
      <c r="BP144" s="21"/>
      <c r="BQ144" s="21"/>
      <c r="BS144" s="22"/>
      <c r="BT144" s="21"/>
      <c r="BU144" s="21"/>
      <c r="CB144" s="21"/>
      <c r="CC144" s="21"/>
      <c r="CD144" s="21"/>
      <c r="CE144" s="21"/>
      <c r="CF144" s="21"/>
      <c r="CI144" s="23"/>
      <c r="CJ144" s="21"/>
      <c r="CK144" s="21"/>
      <c r="CL144" s="21"/>
      <c r="CM144" s="21"/>
      <c r="CQ144" s="21"/>
      <c r="CR144" s="21"/>
      <c r="CS144" s="21"/>
    </row>
    <row r="145" spans="3:97" ht="15.75">
      <c r="K145" s="25"/>
      <c r="M145" s="26"/>
      <c r="N145" s="25"/>
      <c r="P145" s="26"/>
      <c r="Q145" s="25"/>
      <c r="S145" s="26"/>
      <c r="T145" s="25"/>
      <c r="V145" s="26"/>
      <c r="W145" s="25"/>
      <c r="Y145" s="26"/>
      <c r="Z145" s="25"/>
      <c r="AB145" s="26"/>
      <c r="BN145" s="24"/>
      <c r="BO145" s="21"/>
      <c r="BP145" s="21"/>
      <c r="BQ145" s="21"/>
      <c r="BS145" s="22"/>
      <c r="BT145" s="21"/>
      <c r="BU145" s="21"/>
      <c r="CB145" s="21"/>
      <c r="CC145" s="21"/>
      <c r="CD145" s="21"/>
      <c r="CE145" s="21"/>
      <c r="CF145" s="21"/>
      <c r="CI145" s="23"/>
      <c r="CJ145" s="21"/>
      <c r="CK145" s="21"/>
      <c r="CL145" s="21"/>
      <c r="CM145" s="21"/>
      <c r="CQ145" s="21"/>
      <c r="CR145" s="21"/>
      <c r="CS145" s="21"/>
    </row>
    <row r="146" spans="3:97" ht="15.75">
      <c r="K146" s="25"/>
      <c r="M146" s="26"/>
      <c r="N146" s="25"/>
      <c r="P146" s="26"/>
      <c r="Q146" s="25"/>
      <c r="S146" s="26"/>
      <c r="T146" s="25"/>
      <c r="V146" s="26"/>
      <c r="W146" s="25"/>
      <c r="Y146" s="26"/>
      <c r="Z146" s="25"/>
      <c r="AB146" s="26"/>
      <c r="BN146" s="24"/>
      <c r="BO146" s="21"/>
      <c r="BP146" s="21"/>
      <c r="BQ146" s="21"/>
      <c r="BS146" s="22"/>
      <c r="BT146" s="21"/>
      <c r="BU146" s="21"/>
      <c r="CB146" s="21"/>
      <c r="CC146" s="21"/>
      <c r="CD146" s="21"/>
      <c r="CE146" s="21"/>
      <c r="CF146" s="21"/>
      <c r="CI146" s="23"/>
      <c r="CJ146" s="21"/>
      <c r="CK146" s="21"/>
      <c r="CL146" s="21"/>
      <c r="CM146" s="21"/>
      <c r="CQ146" s="21"/>
      <c r="CR146" s="21"/>
      <c r="CS146" s="21"/>
    </row>
    <row r="147" spans="3:97" ht="15.75">
      <c r="K147" s="25"/>
      <c r="M147" s="26"/>
      <c r="N147" s="25"/>
      <c r="P147" s="26"/>
      <c r="Q147" s="25"/>
      <c r="S147" s="26"/>
      <c r="T147" s="25"/>
      <c r="V147" s="26"/>
      <c r="W147" s="25"/>
      <c r="Y147" s="26"/>
      <c r="Z147" s="25"/>
      <c r="AB147" s="26"/>
      <c r="BN147" s="24"/>
      <c r="BO147" s="21"/>
      <c r="BP147" s="21"/>
      <c r="BQ147" s="21"/>
      <c r="BS147" s="22"/>
      <c r="BT147" s="21"/>
      <c r="BU147" s="21"/>
      <c r="CB147" s="21"/>
      <c r="CC147" s="21"/>
      <c r="CD147" s="21"/>
      <c r="CE147" s="21"/>
      <c r="CF147" s="21"/>
      <c r="CI147" s="23"/>
      <c r="CJ147" s="21"/>
      <c r="CK147" s="21"/>
      <c r="CL147" s="21"/>
      <c r="CM147" s="21"/>
      <c r="CQ147" s="21"/>
      <c r="CR147" s="21"/>
      <c r="CS147" s="21"/>
    </row>
    <row r="148" spans="3:97" ht="15.75">
      <c r="C148" s="18"/>
      <c r="D148" s="18"/>
      <c r="E148" s="18"/>
      <c r="K148" s="25"/>
      <c r="M148" s="26"/>
      <c r="N148" s="25"/>
      <c r="P148" s="26"/>
      <c r="Q148" s="25"/>
      <c r="S148" s="26"/>
      <c r="T148" s="25"/>
      <c r="V148" s="26"/>
      <c r="W148" s="25"/>
      <c r="Y148" s="26"/>
      <c r="Z148" s="25"/>
      <c r="AB148" s="26"/>
      <c r="BN148" s="31"/>
      <c r="BO148" s="21"/>
      <c r="BP148" s="21"/>
      <c r="BQ148" s="21"/>
      <c r="BS148" s="22"/>
      <c r="BT148" s="21"/>
      <c r="BU148" s="21"/>
      <c r="CB148" s="21"/>
      <c r="CC148" s="21"/>
      <c r="CD148" s="21"/>
      <c r="CE148" s="21"/>
      <c r="CF148" s="21"/>
      <c r="CI148" s="23"/>
      <c r="CJ148" s="21"/>
      <c r="CK148" s="21"/>
      <c r="CL148" s="21"/>
      <c r="CM148" s="21"/>
      <c r="CQ148" s="21"/>
      <c r="CR148" s="21"/>
      <c r="CS148" s="21"/>
    </row>
    <row r="149" spans="3:97" ht="15.75">
      <c r="K149" s="25"/>
      <c r="M149" s="26"/>
      <c r="N149" s="25"/>
      <c r="P149" s="26"/>
      <c r="Q149" s="25"/>
      <c r="S149" s="26"/>
      <c r="T149" s="25"/>
      <c r="V149" s="26"/>
      <c r="W149" s="25"/>
      <c r="Y149" s="26"/>
      <c r="Z149" s="25"/>
      <c r="AB149" s="26"/>
      <c r="BN149" s="24"/>
      <c r="BO149" s="21"/>
      <c r="BP149" s="21"/>
      <c r="BQ149" s="21"/>
      <c r="BS149" s="22"/>
      <c r="BT149" s="21"/>
      <c r="BU149" s="21"/>
      <c r="CB149" s="21"/>
      <c r="CC149" s="21"/>
      <c r="CD149" s="21"/>
      <c r="CE149" s="21"/>
      <c r="CF149" s="21"/>
      <c r="CI149" s="23"/>
      <c r="CJ149" s="21"/>
      <c r="CK149" s="21"/>
      <c r="CL149" s="21"/>
      <c r="CM149" s="21"/>
      <c r="CQ149" s="21"/>
      <c r="CR149" s="21"/>
      <c r="CS149" s="21"/>
    </row>
    <row r="150" spans="3:97" ht="15.75">
      <c r="K150" s="25"/>
      <c r="M150" s="26"/>
      <c r="N150" s="25"/>
      <c r="P150" s="26"/>
      <c r="Q150" s="25"/>
      <c r="S150" s="26"/>
      <c r="T150" s="25"/>
      <c r="V150" s="26"/>
      <c r="W150" s="25"/>
      <c r="Y150" s="26"/>
      <c r="Z150" s="25"/>
      <c r="AB150" s="26"/>
      <c r="BN150" s="24"/>
      <c r="BO150" s="21"/>
      <c r="BP150" s="21"/>
      <c r="BQ150" s="21"/>
      <c r="BS150" s="22"/>
      <c r="BT150" s="21"/>
      <c r="BU150" s="21"/>
      <c r="CB150" s="21"/>
      <c r="CC150" s="21"/>
      <c r="CD150" s="21"/>
      <c r="CE150" s="21"/>
      <c r="CF150" s="21"/>
      <c r="CI150" s="23"/>
      <c r="CJ150" s="21"/>
      <c r="CK150" s="21"/>
      <c r="CL150" s="21"/>
      <c r="CM150" s="21"/>
      <c r="CQ150" s="21"/>
      <c r="CR150" s="21"/>
      <c r="CS150" s="21"/>
    </row>
    <row r="151" spans="3:97" ht="15.75">
      <c r="K151" s="25"/>
      <c r="M151" s="26"/>
      <c r="N151" s="25"/>
      <c r="P151" s="26"/>
      <c r="Q151" s="25"/>
      <c r="S151" s="26"/>
      <c r="T151" s="25"/>
      <c r="V151" s="26"/>
      <c r="W151" s="25"/>
      <c r="Y151" s="26"/>
      <c r="Z151" s="25"/>
      <c r="AB151" s="26"/>
      <c r="BN151" s="24"/>
      <c r="BO151" s="21"/>
      <c r="BP151" s="21"/>
      <c r="BQ151" s="21"/>
      <c r="BS151" s="22"/>
      <c r="BT151" s="21"/>
      <c r="BU151" s="21"/>
      <c r="CB151" s="21"/>
      <c r="CC151" s="21"/>
      <c r="CD151" s="21"/>
      <c r="CE151" s="21"/>
      <c r="CF151" s="21"/>
      <c r="CI151" s="23"/>
      <c r="CJ151" s="21"/>
      <c r="CK151" s="21"/>
      <c r="CL151" s="21"/>
      <c r="CM151" s="21"/>
      <c r="CQ151" s="21"/>
      <c r="CR151" s="21"/>
      <c r="CS151" s="21"/>
    </row>
    <row r="152" spans="3:97" ht="15.75">
      <c r="K152" s="25"/>
      <c r="M152" s="26"/>
      <c r="N152" s="25"/>
      <c r="P152" s="26"/>
      <c r="Q152" s="25"/>
      <c r="S152" s="26"/>
      <c r="T152" s="25"/>
      <c r="V152" s="26"/>
      <c r="W152" s="25"/>
      <c r="Y152" s="26"/>
      <c r="Z152" s="25"/>
      <c r="AB152" s="26"/>
      <c r="BN152" s="24"/>
      <c r="BO152" s="21"/>
      <c r="BP152" s="21"/>
      <c r="BQ152" s="21"/>
      <c r="BS152" s="22"/>
      <c r="BT152" s="21"/>
      <c r="BU152" s="21"/>
      <c r="CB152" s="21"/>
      <c r="CC152" s="21"/>
      <c r="CD152" s="21"/>
      <c r="CE152" s="21"/>
      <c r="CF152" s="21"/>
      <c r="CI152" s="23"/>
      <c r="CJ152" s="21"/>
      <c r="CK152" s="21"/>
      <c r="CL152" s="21"/>
      <c r="CM152" s="21"/>
      <c r="CQ152" s="21"/>
      <c r="CR152" s="21"/>
      <c r="CS152" s="21"/>
    </row>
    <row r="153" spans="3:97" ht="15.75">
      <c r="K153" s="25"/>
      <c r="M153" s="26"/>
      <c r="N153" s="25"/>
      <c r="P153" s="26"/>
      <c r="Q153" s="25"/>
      <c r="S153" s="26"/>
      <c r="T153" s="25"/>
      <c r="V153" s="26"/>
      <c r="W153" s="25"/>
      <c r="Y153" s="26"/>
      <c r="Z153" s="25"/>
      <c r="AB153" s="26"/>
      <c r="BN153" s="24"/>
      <c r="BO153" s="21"/>
      <c r="BP153" s="21"/>
      <c r="BQ153" s="21"/>
      <c r="BS153" s="22"/>
      <c r="BT153" s="21"/>
      <c r="BU153" s="21"/>
      <c r="CB153" s="21"/>
      <c r="CC153" s="21"/>
      <c r="CD153" s="21"/>
      <c r="CE153" s="21"/>
      <c r="CF153" s="21"/>
      <c r="CI153" s="23"/>
      <c r="CJ153" s="21"/>
      <c r="CK153" s="21"/>
      <c r="CL153" s="21"/>
      <c r="CM153" s="21"/>
      <c r="CQ153" s="21"/>
      <c r="CR153" s="21"/>
      <c r="CS153" s="21"/>
    </row>
    <row r="154" spans="3:97" ht="15.75">
      <c r="K154" s="25"/>
      <c r="M154" s="26"/>
      <c r="N154" s="25"/>
      <c r="P154" s="26"/>
      <c r="Q154" s="25"/>
      <c r="S154" s="26"/>
      <c r="T154" s="25"/>
      <c r="V154" s="26"/>
      <c r="W154" s="25"/>
      <c r="Y154" s="26"/>
      <c r="Z154" s="25"/>
      <c r="AB154" s="26"/>
      <c r="BN154" s="24"/>
      <c r="BO154" s="21"/>
      <c r="BP154" s="21"/>
      <c r="BQ154" s="21"/>
      <c r="BS154" s="22"/>
      <c r="BT154" s="21"/>
      <c r="BU154" s="21"/>
      <c r="CB154" s="21"/>
      <c r="CC154" s="21"/>
      <c r="CD154" s="21"/>
      <c r="CE154" s="21"/>
      <c r="CF154" s="21"/>
      <c r="CI154" s="23"/>
      <c r="CJ154" s="21"/>
      <c r="CK154" s="21"/>
      <c r="CL154" s="21"/>
      <c r="CM154" s="21"/>
      <c r="CQ154" s="21"/>
      <c r="CR154" s="21"/>
      <c r="CS154" s="21"/>
    </row>
    <row r="155" spans="3:97" ht="15.75">
      <c r="K155" s="25"/>
      <c r="M155" s="26"/>
      <c r="N155" s="25"/>
      <c r="P155" s="26"/>
      <c r="Q155" s="25"/>
      <c r="S155" s="26"/>
      <c r="T155" s="25"/>
      <c r="V155" s="26"/>
      <c r="W155" s="25"/>
      <c r="Y155" s="26"/>
      <c r="Z155" s="25"/>
      <c r="AB155" s="26"/>
      <c r="BN155" s="24"/>
      <c r="BO155" s="21"/>
      <c r="BP155" s="21"/>
      <c r="BQ155" s="21"/>
      <c r="BS155" s="22"/>
      <c r="BT155" s="21"/>
      <c r="BU155" s="21"/>
      <c r="CB155" s="21"/>
      <c r="CC155" s="21"/>
      <c r="CD155" s="21"/>
      <c r="CE155" s="21"/>
      <c r="CF155" s="21"/>
      <c r="CI155" s="23"/>
      <c r="CJ155" s="21"/>
      <c r="CK155" s="21"/>
      <c r="CL155" s="21"/>
      <c r="CM155" s="21"/>
      <c r="CQ155" s="21"/>
      <c r="CR155" s="21"/>
      <c r="CS155" s="21"/>
    </row>
    <row r="156" spans="3:97" ht="15.75">
      <c r="K156" s="25"/>
      <c r="M156" s="26"/>
      <c r="N156" s="25"/>
      <c r="P156" s="26"/>
      <c r="Q156" s="25"/>
      <c r="S156" s="26"/>
      <c r="T156" s="25"/>
      <c r="V156" s="26"/>
      <c r="W156" s="25"/>
      <c r="Y156" s="26"/>
      <c r="Z156" s="25"/>
      <c r="AB156" s="26"/>
      <c r="BN156" s="24"/>
      <c r="BO156" s="21"/>
      <c r="BP156" s="21"/>
      <c r="BQ156" s="21"/>
      <c r="BS156" s="22"/>
      <c r="BT156" s="21"/>
      <c r="BU156" s="21"/>
      <c r="CB156" s="21"/>
      <c r="CC156" s="21"/>
      <c r="CD156" s="21"/>
      <c r="CE156" s="21"/>
      <c r="CF156" s="21"/>
      <c r="CI156" s="23"/>
      <c r="CJ156" s="21"/>
      <c r="CK156" s="21"/>
      <c r="CL156" s="21"/>
      <c r="CM156" s="21"/>
      <c r="CQ156" s="21"/>
      <c r="CR156" s="21"/>
      <c r="CS156" s="21"/>
    </row>
    <row r="157" spans="3:97" ht="15.75">
      <c r="K157" s="25"/>
      <c r="M157" s="26"/>
      <c r="N157" s="25"/>
      <c r="P157" s="26"/>
      <c r="Q157" s="25"/>
      <c r="S157" s="26"/>
      <c r="T157" s="25"/>
      <c r="V157" s="26"/>
      <c r="W157" s="25"/>
      <c r="Y157" s="26"/>
      <c r="Z157" s="25"/>
      <c r="AB157" s="26"/>
      <c r="BN157" s="24"/>
      <c r="BO157" s="21"/>
      <c r="BP157" s="21"/>
      <c r="BQ157" s="21"/>
      <c r="BS157" s="22"/>
      <c r="BT157" s="21"/>
      <c r="BU157" s="21"/>
      <c r="CB157" s="21"/>
      <c r="CC157" s="21"/>
      <c r="CD157" s="21"/>
      <c r="CE157" s="21"/>
      <c r="CF157" s="21"/>
      <c r="CI157" s="23"/>
      <c r="CJ157" s="21"/>
      <c r="CK157" s="21"/>
      <c r="CL157" s="21"/>
      <c r="CM157" s="21"/>
      <c r="CQ157" s="21"/>
      <c r="CR157" s="21"/>
      <c r="CS157" s="21"/>
    </row>
    <row r="158" spans="3:97" ht="15.75">
      <c r="K158" s="25"/>
      <c r="M158" s="26"/>
      <c r="N158" s="25"/>
      <c r="P158" s="26"/>
      <c r="Q158" s="25"/>
      <c r="S158" s="26"/>
      <c r="T158" s="25"/>
      <c r="V158" s="26"/>
      <c r="W158" s="25"/>
      <c r="Y158" s="26"/>
      <c r="Z158" s="25"/>
      <c r="AB158" s="26"/>
      <c r="BN158" s="24"/>
      <c r="BO158" s="21"/>
      <c r="BP158" s="21"/>
      <c r="BQ158" s="21"/>
      <c r="BS158" s="22"/>
      <c r="BT158" s="21"/>
      <c r="BU158" s="21"/>
      <c r="CB158" s="21"/>
      <c r="CC158" s="21"/>
      <c r="CD158" s="21"/>
      <c r="CE158" s="21"/>
      <c r="CF158" s="21"/>
      <c r="CI158" s="23"/>
      <c r="CJ158" s="21"/>
      <c r="CK158" s="21"/>
      <c r="CL158" s="21"/>
      <c r="CM158" s="21"/>
      <c r="CQ158" s="21"/>
      <c r="CR158" s="21"/>
      <c r="CS158" s="21"/>
    </row>
    <row r="159" spans="3:97" ht="15.75">
      <c r="K159" s="25"/>
      <c r="M159" s="26"/>
      <c r="N159" s="25"/>
      <c r="P159" s="26"/>
      <c r="Q159" s="25"/>
      <c r="S159" s="26"/>
      <c r="T159" s="25"/>
      <c r="V159" s="26"/>
      <c r="W159" s="25"/>
      <c r="Y159" s="26"/>
      <c r="Z159" s="25"/>
      <c r="AB159" s="26"/>
      <c r="BN159" s="24"/>
      <c r="BO159" s="21"/>
      <c r="BP159" s="21"/>
      <c r="BQ159" s="21"/>
      <c r="BS159" s="22"/>
      <c r="BT159" s="21"/>
      <c r="BU159" s="21"/>
      <c r="CB159" s="21"/>
      <c r="CC159" s="21"/>
      <c r="CD159" s="21"/>
      <c r="CE159" s="21"/>
      <c r="CF159" s="21"/>
      <c r="CI159" s="23"/>
      <c r="CJ159" s="21"/>
      <c r="CK159" s="21"/>
      <c r="CL159" s="21"/>
      <c r="CM159" s="21"/>
      <c r="CQ159" s="21"/>
      <c r="CR159" s="21"/>
      <c r="CS159" s="21"/>
    </row>
    <row r="160" spans="3:97" ht="15.75">
      <c r="K160" s="25"/>
      <c r="M160" s="26"/>
      <c r="N160" s="25"/>
      <c r="P160" s="26"/>
      <c r="Q160" s="25"/>
      <c r="S160" s="26"/>
      <c r="T160" s="25"/>
      <c r="V160" s="26"/>
      <c r="W160" s="25"/>
      <c r="Y160" s="26"/>
      <c r="Z160" s="25"/>
      <c r="AB160" s="26"/>
      <c r="BN160" s="24"/>
      <c r="BO160" s="21"/>
      <c r="BP160" s="21"/>
      <c r="BQ160" s="21"/>
      <c r="BS160" s="22"/>
      <c r="BT160" s="21"/>
      <c r="BU160" s="21"/>
      <c r="CB160" s="21"/>
      <c r="CC160" s="21"/>
      <c r="CD160" s="21"/>
      <c r="CE160" s="21"/>
      <c r="CF160" s="21"/>
      <c r="CI160" s="23"/>
      <c r="CJ160" s="21"/>
      <c r="CK160" s="21"/>
      <c r="CL160" s="21"/>
      <c r="CM160" s="21"/>
      <c r="CQ160" s="21"/>
      <c r="CR160" s="21"/>
      <c r="CS160" s="21"/>
    </row>
    <row r="161" spans="11:97" ht="15.75">
      <c r="K161" s="25"/>
      <c r="M161" s="26"/>
      <c r="N161" s="25"/>
      <c r="P161" s="26"/>
      <c r="Q161" s="25"/>
      <c r="S161" s="26"/>
      <c r="T161" s="25"/>
      <c r="V161" s="26"/>
      <c r="W161" s="25"/>
      <c r="Y161" s="26"/>
      <c r="Z161" s="25"/>
      <c r="AB161" s="26"/>
      <c r="BN161" s="24"/>
      <c r="BO161" s="21"/>
      <c r="BP161" s="21"/>
      <c r="BQ161" s="21"/>
      <c r="BS161" s="22"/>
      <c r="BT161" s="21"/>
      <c r="BU161" s="21"/>
      <c r="CB161" s="21"/>
      <c r="CC161" s="21"/>
      <c r="CD161" s="21"/>
      <c r="CE161" s="21"/>
      <c r="CF161" s="21"/>
      <c r="CI161" s="23"/>
      <c r="CJ161" s="21"/>
      <c r="CK161" s="21"/>
      <c r="CL161" s="21"/>
      <c r="CM161" s="21"/>
      <c r="CQ161" s="21"/>
      <c r="CR161" s="21"/>
      <c r="CS161" s="21"/>
    </row>
    <row r="162" spans="11:97" ht="15.75">
      <c r="K162" s="25"/>
      <c r="M162" s="26"/>
      <c r="N162" s="25"/>
      <c r="P162" s="26"/>
      <c r="Q162" s="25"/>
      <c r="S162" s="26"/>
      <c r="T162" s="25"/>
      <c r="V162" s="26"/>
      <c r="W162" s="25"/>
      <c r="Y162" s="26"/>
      <c r="Z162" s="25"/>
      <c r="AB162" s="26"/>
      <c r="BN162" s="24"/>
      <c r="BO162" s="21"/>
      <c r="BP162" s="21"/>
      <c r="BQ162" s="21"/>
      <c r="BS162" s="22"/>
      <c r="BT162" s="21"/>
      <c r="BU162" s="21"/>
      <c r="CB162" s="21"/>
      <c r="CC162" s="21"/>
      <c r="CD162" s="21"/>
      <c r="CE162" s="21"/>
      <c r="CF162" s="21"/>
      <c r="CI162" s="23"/>
      <c r="CJ162" s="21"/>
      <c r="CK162" s="21"/>
      <c r="CL162" s="21"/>
      <c r="CM162" s="21"/>
      <c r="CQ162" s="21"/>
      <c r="CR162" s="21"/>
      <c r="CS162" s="21"/>
    </row>
    <row r="163" spans="11:97" ht="15.75">
      <c r="K163" s="25"/>
      <c r="M163" s="26"/>
      <c r="N163" s="25"/>
      <c r="P163" s="26"/>
      <c r="Q163" s="25"/>
      <c r="S163" s="26"/>
      <c r="T163" s="25"/>
      <c r="V163" s="26"/>
      <c r="W163" s="25"/>
      <c r="Y163" s="26"/>
      <c r="Z163" s="25"/>
      <c r="AB163" s="26"/>
      <c r="BN163" s="24"/>
      <c r="BO163" s="21"/>
      <c r="BP163" s="21"/>
      <c r="BQ163" s="21"/>
      <c r="BS163" s="22"/>
      <c r="BT163" s="21"/>
      <c r="BU163" s="21"/>
      <c r="CB163" s="21"/>
      <c r="CC163" s="21"/>
      <c r="CD163" s="21"/>
      <c r="CE163" s="21"/>
      <c r="CF163" s="21"/>
      <c r="CI163" s="23"/>
      <c r="CJ163" s="21"/>
      <c r="CK163" s="21"/>
      <c r="CL163" s="21"/>
      <c r="CM163" s="21"/>
      <c r="CQ163" s="21"/>
      <c r="CR163" s="21"/>
      <c r="CS163" s="21"/>
    </row>
    <row r="164" spans="11:97" ht="15.75">
      <c r="K164" s="25"/>
      <c r="M164" s="26"/>
      <c r="N164" s="25"/>
      <c r="P164" s="26"/>
      <c r="Q164" s="25"/>
      <c r="S164" s="26"/>
      <c r="T164" s="25"/>
      <c r="V164" s="26"/>
      <c r="W164" s="25"/>
      <c r="Y164" s="26"/>
      <c r="Z164" s="25"/>
      <c r="AB164" s="26"/>
      <c r="BN164" s="24"/>
      <c r="BO164" s="21"/>
      <c r="BP164" s="21"/>
      <c r="BQ164" s="21"/>
      <c r="BS164" s="22"/>
      <c r="BT164" s="21"/>
      <c r="BU164" s="21"/>
      <c r="CB164" s="21"/>
      <c r="CC164" s="21"/>
      <c r="CD164" s="21"/>
      <c r="CE164" s="21"/>
      <c r="CF164" s="21"/>
      <c r="CI164" s="23"/>
      <c r="CJ164" s="21"/>
      <c r="CK164" s="21"/>
      <c r="CL164" s="21"/>
      <c r="CM164" s="21"/>
      <c r="CQ164" s="21"/>
      <c r="CR164" s="21"/>
      <c r="CS164" s="21"/>
    </row>
    <row r="165" spans="11:97" ht="15.75">
      <c r="K165" s="25"/>
      <c r="M165" s="26"/>
      <c r="N165" s="25"/>
      <c r="P165" s="26"/>
      <c r="Q165" s="25"/>
      <c r="S165" s="26"/>
      <c r="T165" s="25"/>
      <c r="V165" s="26"/>
      <c r="W165" s="25"/>
      <c r="Y165" s="26"/>
      <c r="Z165" s="25"/>
      <c r="AB165" s="26"/>
      <c r="BN165" s="24"/>
      <c r="BO165" s="21"/>
      <c r="BP165" s="21"/>
      <c r="BQ165" s="21"/>
      <c r="BS165" s="22"/>
      <c r="BT165" s="21"/>
      <c r="BU165" s="21"/>
      <c r="CB165" s="21"/>
      <c r="CC165" s="21"/>
      <c r="CD165" s="21"/>
      <c r="CE165" s="21"/>
      <c r="CF165" s="21"/>
      <c r="CI165" s="23"/>
      <c r="CJ165" s="21"/>
      <c r="CK165" s="21"/>
      <c r="CL165" s="21"/>
      <c r="CM165" s="21"/>
      <c r="CQ165" s="21"/>
      <c r="CR165" s="21"/>
      <c r="CS165" s="21"/>
    </row>
    <row r="166" spans="11:97" ht="15.75">
      <c r="K166" s="25"/>
      <c r="M166" s="26"/>
      <c r="N166" s="25"/>
      <c r="P166" s="26"/>
      <c r="Q166" s="25"/>
      <c r="S166" s="26"/>
      <c r="T166" s="25"/>
      <c r="V166" s="26"/>
      <c r="W166" s="25"/>
      <c r="Y166" s="26"/>
      <c r="Z166" s="25"/>
      <c r="AB166" s="26"/>
      <c r="BN166" s="24"/>
      <c r="BO166" s="21"/>
      <c r="BP166" s="21"/>
      <c r="BQ166" s="21"/>
      <c r="BS166" s="22"/>
      <c r="BT166" s="21"/>
      <c r="BU166" s="21"/>
      <c r="CB166" s="21"/>
      <c r="CC166" s="21"/>
      <c r="CD166" s="21"/>
      <c r="CE166" s="21"/>
      <c r="CF166" s="21"/>
      <c r="CI166" s="23"/>
      <c r="CJ166" s="21"/>
      <c r="CK166" s="21"/>
      <c r="CL166" s="21"/>
      <c r="CM166" s="21"/>
      <c r="CQ166" s="21"/>
      <c r="CR166" s="21"/>
      <c r="CS166" s="21"/>
    </row>
    <row r="167" spans="11:97" ht="15.75">
      <c r="K167" s="25"/>
      <c r="M167" s="26"/>
      <c r="N167" s="25"/>
      <c r="P167" s="26"/>
      <c r="Q167" s="25"/>
      <c r="S167" s="26"/>
      <c r="T167" s="25"/>
      <c r="V167" s="26"/>
      <c r="W167" s="25"/>
      <c r="Y167" s="26"/>
      <c r="Z167" s="25"/>
      <c r="AB167" s="26"/>
      <c r="BN167" s="24"/>
      <c r="BO167" s="21"/>
      <c r="BP167" s="21"/>
      <c r="BQ167" s="21"/>
      <c r="BS167" s="22"/>
      <c r="BT167" s="21"/>
      <c r="BU167" s="21"/>
      <c r="CB167" s="21"/>
      <c r="CC167" s="21"/>
      <c r="CD167" s="21"/>
      <c r="CE167" s="21"/>
      <c r="CF167" s="21"/>
      <c r="CI167" s="23"/>
      <c r="CJ167" s="21"/>
      <c r="CK167" s="21"/>
      <c r="CL167" s="21"/>
      <c r="CM167" s="21"/>
      <c r="CQ167" s="21"/>
      <c r="CR167" s="21"/>
      <c r="CS167" s="21"/>
    </row>
    <row r="168" spans="11:97" ht="15.75">
      <c r="K168" s="25"/>
      <c r="M168" s="26"/>
      <c r="N168" s="25"/>
      <c r="P168" s="26"/>
      <c r="Q168" s="25"/>
      <c r="S168" s="26"/>
      <c r="T168" s="25"/>
      <c r="V168" s="26"/>
      <c r="W168" s="25"/>
      <c r="Y168" s="26"/>
      <c r="Z168" s="25"/>
      <c r="AB168" s="26"/>
      <c r="BN168" s="24"/>
      <c r="BO168" s="21"/>
      <c r="BP168" s="21"/>
      <c r="BQ168" s="21"/>
      <c r="BS168" s="22"/>
      <c r="BT168" s="21"/>
      <c r="BU168" s="21"/>
      <c r="CB168" s="21"/>
      <c r="CC168" s="21"/>
      <c r="CD168" s="21"/>
      <c r="CE168" s="21"/>
      <c r="CF168" s="21"/>
      <c r="CI168" s="23"/>
      <c r="CJ168" s="21"/>
      <c r="CK168" s="21"/>
      <c r="CL168" s="21"/>
      <c r="CM168" s="21"/>
      <c r="CQ168" s="21"/>
      <c r="CR168" s="21"/>
      <c r="CS168" s="21"/>
    </row>
    <row r="169" spans="11:97" ht="15.75">
      <c r="K169" s="25"/>
      <c r="M169" s="26"/>
      <c r="N169" s="25"/>
      <c r="P169" s="26"/>
      <c r="Q169" s="25"/>
      <c r="S169" s="26"/>
      <c r="T169" s="25"/>
      <c r="V169" s="26"/>
      <c r="W169" s="25"/>
      <c r="Y169" s="26"/>
      <c r="Z169" s="25"/>
      <c r="AB169" s="26"/>
      <c r="BN169" s="24"/>
      <c r="BO169" s="21"/>
      <c r="BP169" s="21"/>
      <c r="BQ169" s="21"/>
      <c r="BS169" s="22"/>
      <c r="BT169" s="21"/>
      <c r="BU169" s="21"/>
      <c r="CB169" s="21"/>
      <c r="CC169" s="21"/>
      <c r="CD169" s="21"/>
      <c r="CE169" s="21"/>
      <c r="CF169" s="21"/>
      <c r="CI169" s="23"/>
      <c r="CJ169" s="21"/>
      <c r="CK169" s="21"/>
      <c r="CL169" s="21"/>
      <c r="CM169" s="21"/>
      <c r="CQ169" s="21"/>
      <c r="CR169" s="21"/>
      <c r="CS169" s="21"/>
    </row>
    <row r="170" spans="11:97" ht="15.75">
      <c r="K170" s="25"/>
      <c r="M170" s="26"/>
      <c r="N170" s="25"/>
      <c r="P170" s="26"/>
      <c r="Q170" s="25"/>
      <c r="S170" s="26"/>
      <c r="T170" s="25"/>
      <c r="V170" s="26"/>
      <c r="W170" s="25"/>
      <c r="Y170" s="26"/>
      <c r="Z170" s="25"/>
      <c r="AB170" s="26"/>
      <c r="BN170" s="24"/>
      <c r="BO170" s="21"/>
      <c r="BP170" s="21"/>
      <c r="BQ170" s="21"/>
      <c r="BS170" s="22"/>
      <c r="BT170" s="21"/>
      <c r="BU170" s="21"/>
      <c r="CB170" s="21"/>
      <c r="CC170" s="21"/>
      <c r="CD170" s="21"/>
      <c r="CE170" s="21"/>
      <c r="CF170" s="21"/>
      <c r="CI170" s="23"/>
      <c r="CJ170" s="21"/>
      <c r="CK170" s="21"/>
      <c r="CL170" s="21"/>
      <c r="CM170" s="21"/>
      <c r="CQ170" s="21"/>
      <c r="CR170" s="21"/>
      <c r="CS170" s="21"/>
    </row>
    <row r="171" spans="11:97" ht="15.75">
      <c r="K171" s="25"/>
      <c r="M171" s="26"/>
      <c r="N171" s="25"/>
      <c r="P171" s="26"/>
      <c r="Q171" s="25"/>
      <c r="S171" s="26"/>
      <c r="T171" s="25"/>
      <c r="V171" s="26"/>
      <c r="W171" s="25"/>
      <c r="Y171" s="26"/>
      <c r="Z171" s="25"/>
      <c r="AB171" s="26"/>
      <c r="BN171" s="24"/>
      <c r="BO171" s="21"/>
      <c r="BP171" s="21"/>
      <c r="BQ171" s="21"/>
      <c r="BS171" s="22"/>
      <c r="BT171" s="21"/>
      <c r="BU171" s="21"/>
      <c r="CB171" s="21"/>
      <c r="CC171" s="21"/>
      <c r="CD171" s="21"/>
      <c r="CE171" s="21"/>
      <c r="CF171" s="21"/>
      <c r="CI171" s="23"/>
      <c r="CJ171" s="21"/>
      <c r="CK171" s="21"/>
      <c r="CL171" s="21"/>
      <c r="CM171" s="21"/>
      <c r="CQ171" s="21"/>
      <c r="CR171" s="21"/>
      <c r="CS171" s="21"/>
    </row>
    <row r="172" spans="11:97" ht="15.75">
      <c r="K172" s="25"/>
      <c r="M172" s="26"/>
      <c r="N172" s="25"/>
      <c r="P172" s="26"/>
      <c r="Q172" s="25"/>
      <c r="S172" s="26"/>
      <c r="T172" s="25"/>
      <c r="V172" s="26"/>
      <c r="W172" s="25"/>
      <c r="Y172" s="26"/>
      <c r="Z172" s="25"/>
      <c r="AB172" s="26"/>
      <c r="BN172" s="24"/>
      <c r="BO172" s="21"/>
      <c r="BP172" s="21"/>
      <c r="BQ172" s="21"/>
      <c r="BS172" s="22"/>
      <c r="BT172" s="21"/>
      <c r="BU172" s="21"/>
      <c r="CB172" s="21"/>
      <c r="CC172" s="21"/>
      <c r="CD172" s="21"/>
      <c r="CE172" s="21"/>
      <c r="CF172" s="21"/>
      <c r="CI172" s="23"/>
      <c r="CJ172" s="21"/>
      <c r="CK172" s="21"/>
      <c r="CL172" s="21"/>
      <c r="CM172" s="21"/>
      <c r="CQ172" s="21"/>
      <c r="CR172" s="21"/>
      <c r="CS172" s="21"/>
    </row>
    <row r="173" spans="11:97" ht="15.75">
      <c r="K173" s="25"/>
      <c r="M173" s="26"/>
      <c r="N173" s="25"/>
      <c r="P173" s="26"/>
      <c r="Q173" s="25"/>
      <c r="S173" s="26"/>
      <c r="T173" s="25"/>
      <c r="V173" s="26"/>
      <c r="W173" s="25"/>
      <c r="Y173" s="26"/>
      <c r="Z173" s="25"/>
      <c r="AB173" s="26"/>
      <c r="BN173" s="24"/>
      <c r="BO173" s="21"/>
      <c r="BP173" s="21"/>
      <c r="BQ173" s="21"/>
      <c r="BS173" s="22"/>
      <c r="BT173" s="21"/>
      <c r="BU173" s="21"/>
      <c r="CB173" s="21"/>
      <c r="CC173" s="21"/>
      <c r="CD173" s="21"/>
      <c r="CE173" s="21"/>
      <c r="CF173" s="21"/>
      <c r="CI173" s="23"/>
      <c r="CJ173" s="21"/>
      <c r="CK173" s="21"/>
      <c r="CL173" s="21"/>
      <c r="CM173" s="21"/>
      <c r="CQ173" s="21"/>
      <c r="CR173" s="21"/>
      <c r="CS173" s="21"/>
    </row>
    <row r="174" spans="11:97" ht="15.75">
      <c r="K174" s="25"/>
      <c r="M174" s="26"/>
      <c r="N174" s="25"/>
      <c r="P174" s="26"/>
      <c r="Q174" s="25"/>
      <c r="S174" s="26"/>
      <c r="T174" s="25"/>
      <c r="V174" s="26"/>
      <c r="W174" s="25"/>
      <c r="Y174" s="26"/>
      <c r="Z174" s="25"/>
      <c r="AB174" s="26"/>
      <c r="BN174" s="24"/>
      <c r="BO174" s="21"/>
      <c r="BP174" s="21"/>
      <c r="BQ174" s="21"/>
      <c r="BS174" s="22"/>
      <c r="BT174" s="21"/>
      <c r="BU174" s="21"/>
      <c r="CB174" s="21"/>
      <c r="CC174" s="21"/>
      <c r="CD174" s="21"/>
      <c r="CE174" s="21"/>
      <c r="CF174" s="21"/>
      <c r="CI174" s="23"/>
      <c r="CJ174" s="21"/>
      <c r="CK174" s="21"/>
      <c r="CL174" s="21"/>
      <c r="CM174" s="21"/>
      <c r="CQ174" s="21"/>
      <c r="CR174" s="21"/>
      <c r="CS174" s="21"/>
    </row>
    <row r="175" spans="11:97" ht="15.75">
      <c r="K175" s="25"/>
      <c r="M175" s="26"/>
      <c r="N175" s="25"/>
      <c r="P175" s="26"/>
      <c r="Q175" s="25"/>
      <c r="S175" s="26"/>
      <c r="T175" s="25"/>
      <c r="V175" s="26"/>
      <c r="W175" s="25"/>
      <c r="Y175" s="26"/>
      <c r="Z175" s="25"/>
      <c r="AB175" s="26"/>
      <c r="BN175" s="24"/>
      <c r="BO175" s="21"/>
      <c r="BP175" s="21"/>
      <c r="BQ175" s="21"/>
      <c r="BS175" s="22"/>
      <c r="BT175" s="21"/>
      <c r="BU175" s="21"/>
      <c r="CB175" s="21"/>
      <c r="CC175" s="21"/>
      <c r="CD175" s="21"/>
      <c r="CE175" s="21"/>
      <c r="CF175" s="21"/>
      <c r="CI175" s="23"/>
      <c r="CJ175" s="21"/>
      <c r="CK175" s="21"/>
      <c r="CL175" s="21"/>
      <c r="CM175" s="21"/>
      <c r="CQ175" s="21"/>
      <c r="CR175" s="21"/>
      <c r="CS175" s="21"/>
    </row>
    <row r="176" spans="11:97" ht="15.75">
      <c r="K176" s="25"/>
      <c r="M176" s="26"/>
      <c r="N176" s="25"/>
      <c r="P176" s="26"/>
      <c r="Q176" s="25"/>
      <c r="S176" s="26"/>
      <c r="T176" s="25"/>
      <c r="V176" s="26"/>
      <c r="W176" s="25"/>
      <c r="Y176" s="26"/>
      <c r="Z176" s="25"/>
      <c r="AB176" s="26"/>
      <c r="BN176" s="24"/>
      <c r="BO176" s="21"/>
      <c r="BP176" s="21"/>
      <c r="BQ176" s="21"/>
      <c r="BS176" s="22"/>
      <c r="BT176" s="21"/>
      <c r="BU176" s="21"/>
      <c r="CB176" s="21"/>
      <c r="CC176" s="21"/>
      <c r="CD176" s="21"/>
      <c r="CE176" s="21"/>
      <c r="CF176" s="21"/>
      <c r="CI176" s="23"/>
      <c r="CJ176" s="21"/>
      <c r="CK176" s="21"/>
      <c r="CL176" s="21"/>
      <c r="CM176" s="21"/>
      <c r="CQ176" s="21"/>
      <c r="CR176" s="21"/>
      <c r="CS176" s="21"/>
    </row>
    <row r="177" spans="11:97" ht="15.75">
      <c r="K177" s="25"/>
      <c r="M177" s="26"/>
      <c r="N177" s="25"/>
      <c r="P177" s="26"/>
      <c r="Q177" s="25"/>
      <c r="S177" s="26"/>
      <c r="T177" s="25"/>
      <c r="V177" s="26"/>
      <c r="W177" s="25"/>
      <c r="Y177" s="26"/>
      <c r="Z177" s="25"/>
      <c r="AB177" s="26"/>
      <c r="BN177" s="24"/>
      <c r="BO177" s="21"/>
      <c r="BP177" s="21"/>
      <c r="BQ177" s="21"/>
      <c r="BS177" s="22"/>
      <c r="BT177" s="21"/>
      <c r="BU177" s="21"/>
      <c r="CB177" s="21"/>
      <c r="CC177" s="21"/>
      <c r="CD177" s="21"/>
      <c r="CE177" s="21"/>
      <c r="CF177" s="21"/>
      <c r="CI177" s="23"/>
      <c r="CJ177" s="21"/>
      <c r="CK177" s="21"/>
      <c r="CL177" s="21"/>
      <c r="CM177" s="21"/>
      <c r="CQ177" s="21"/>
      <c r="CR177" s="21"/>
      <c r="CS177" s="21"/>
    </row>
    <row r="178" spans="11:97" ht="15.75">
      <c r="K178" s="25"/>
      <c r="M178" s="26"/>
      <c r="N178" s="25"/>
      <c r="P178" s="26"/>
      <c r="Q178" s="25"/>
      <c r="S178" s="26"/>
      <c r="T178" s="25"/>
      <c r="V178" s="26"/>
      <c r="W178" s="25"/>
      <c r="Y178" s="26"/>
      <c r="Z178" s="25"/>
      <c r="AB178" s="26"/>
      <c r="BN178" s="24"/>
      <c r="BO178" s="21"/>
      <c r="BP178" s="21"/>
      <c r="BQ178" s="21"/>
      <c r="BS178" s="22"/>
      <c r="BT178" s="21"/>
      <c r="BU178" s="21"/>
      <c r="CB178" s="21"/>
      <c r="CC178" s="21"/>
      <c r="CD178" s="21"/>
      <c r="CE178" s="21"/>
      <c r="CF178" s="21"/>
      <c r="CI178" s="23"/>
      <c r="CJ178" s="21"/>
      <c r="CK178" s="21"/>
      <c r="CL178" s="21"/>
      <c r="CM178" s="21"/>
      <c r="CQ178" s="21"/>
      <c r="CR178" s="21"/>
      <c r="CS178" s="21"/>
    </row>
    <row r="179" spans="11:97" ht="15.75">
      <c r="K179" s="25"/>
      <c r="M179" s="26"/>
      <c r="N179" s="25"/>
      <c r="P179" s="26"/>
      <c r="Q179" s="25"/>
      <c r="S179" s="26"/>
      <c r="T179" s="25"/>
      <c r="V179" s="26"/>
      <c r="W179" s="25"/>
      <c r="Y179" s="26"/>
      <c r="Z179" s="25"/>
      <c r="AB179" s="26"/>
      <c r="BN179" s="24"/>
      <c r="BO179" s="21"/>
      <c r="BP179" s="21"/>
      <c r="BQ179" s="21"/>
      <c r="BS179" s="22"/>
      <c r="BT179" s="21"/>
      <c r="BU179" s="21"/>
      <c r="CB179" s="21"/>
      <c r="CC179" s="21"/>
      <c r="CD179" s="21"/>
      <c r="CE179" s="21"/>
      <c r="CF179" s="21"/>
      <c r="CI179" s="23"/>
      <c r="CJ179" s="21"/>
      <c r="CK179" s="21"/>
      <c r="CL179" s="21"/>
      <c r="CM179" s="21"/>
      <c r="CQ179" s="21"/>
      <c r="CR179" s="21"/>
      <c r="CS179" s="21"/>
    </row>
    <row r="180" spans="11:97" ht="15.75">
      <c r="K180" s="25"/>
      <c r="M180" s="26"/>
      <c r="N180" s="25"/>
      <c r="P180" s="26"/>
      <c r="Q180" s="25"/>
      <c r="S180" s="26"/>
      <c r="T180" s="25"/>
      <c r="V180" s="26"/>
      <c r="W180" s="25"/>
      <c r="Y180" s="26"/>
      <c r="Z180" s="25"/>
      <c r="AB180" s="26"/>
      <c r="BN180" s="24"/>
      <c r="BO180" s="21"/>
      <c r="BP180" s="21"/>
      <c r="BQ180" s="21"/>
      <c r="BS180" s="22"/>
      <c r="BT180" s="21"/>
      <c r="BU180" s="21"/>
      <c r="CB180" s="21"/>
      <c r="CC180" s="21"/>
      <c r="CD180" s="21"/>
      <c r="CE180" s="21"/>
      <c r="CF180" s="21"/>
      <c r="CI180" s="23"/>
      <c r="CJ180" s="21"/>
      <c r="CK180" s="21"/>
      <c r="CL180" s="21"/>
      <c r="CM180" s="21"/>
      <c r="CQ180" s="21"/>
      <c r="CR180" s="21"/>
      <c r="CS180" s="21"/>
    </row>
    <row r="181" spans="11:97" ht="15.75">
      <c r="K181" s="25"/>
      <c r="M181" s="26"/>
      <c r="N181" s="25"/>
      <c r="P181" s="26"/>
      <c r="Q181" s="25"/>
      <c r="S181" s="26"/>
      <c r="T181" s="25"/>
      <c r="V181" s="26"/>
      <c r="W181" s="25"/>
      <c r="Y181" s="26"/>
      <c r="Z181" s="25"/>
      <c r="AB181" s="26"/>
      <c r="BN181" s="24"/>
      <c r="BO181" s="21"/>
      <c r="BP181" s="21"/>
      <c r="BQ181" s="21"/>
      <c r="BS181" s="22"/>
      <c r="BT181" s="21"/>
      <c r="BU181" s="21"/>
      <c r="CB181" s="21"/>
      <c r="CC181" s="21"/>
      <c r="CD181" s="21"/>
      <c r="CE181" s="21"/>
      <c r="CF181" s="21"/>
      <c r="CI181" s="23"/>
      <c r="CJ181" s="21"/>
      <c r="CK181" s="21"/>
      <c r="CL181" s="21"/>
      <c r="CM181" s="21"/>
      <c r="CQ181" s="21"/>
      <c r="CR181" s="21"/>
      <c r="CS181" s="21"/>
    </row>
    <row r="182" spans="11:97" ht="15.75">
      <c r="K182" s="25"/>
      <c r="M182" s="26"/>
      <c r="N182" s="25"/>
      <c r="P182" s="26"/>
      <c r="Q182" s="25"/>
      <c r="S182" s="26"/>
      <c r="T182" s="25"/>
      <c r="V182" s="26"/>
      <c r="W182" s="25"/>
      <c r="Y182" s="26"/>
      <c r="Z182" s="25"/>
      <c r="AB182" s="26"/>
      <c r="BN182" s="24"/>
      <c r="BO182" s="21"/>
      <c r="BP182" s="21"/>
      <c r="BQ182" s="21"/>
      <c r="BS182" s="22"/>
      <c r="BT182" s="21"/>
      <c r="BU182" s="21"/>
      <c r="CB182" s="21"/>
      <c r="CC182" s="21"/>
      <c r="CD182" s="21"/>
      <c r="CE182" s="21"/>
      <c r="CF182" s="21"/>
      <c r="CI182" s="23"/>
      <c r="CJ182" s="21"/>
      <c r="CK182" s="21"/>
      <c r="CL182" s="21"/>
      <c r="CM182" s="21"/>
      <c r="CQ182" s="21"/>
      <c r="CR182" s="21"/>
      <c r="CS182" s="21"/>
    </row>
    <row r="183" spans="11:97" ht="15.75">
      <c r="K183" s="25"/>
      <c r="M183" s="26"/>
      <c r="N183" s="25"/>
      <c r="P183" s="26"/>
      <c r="Q183" s="25"/>
      <c r="S183" s="26"/>
      <c r="T183" s="25"/>
      <c r="V183" s="26"/>
      <c r="W183" s="25"/>
      <c r="Y183" s="26"/>
      <c r="Z183" s="25"/>
      <c r="AB183" s="26"/>
      <c r="BN183" s="24"/>
      <c r="BO183" s="21"/>
      <c r="BP183" s="21"/>
      <c r="BQ183" s="21"/>
      <c r="BS183" s="22"/>
      <c r="BT183" s="21"/>
      <c r="BU183" s="21"/>
      <c r="CB183" s="21"/>
      <c r="CC183" s="21"/>
      <c r="CD183" s="21"/>
      <c r="CE183" s="21"/>
      <c r="CF183" s="21"/>
      <c r="CI183" s="23"/>
      <c r="CJ183" s="21"/>
      <c r="CK183" s="21"/>
      <c r="CL183" s="21"/>
      <c r="CM183" s="21"/>
      <c r="CQ183" s="21"/>
      <c r="CR183" s="21"/>
      <c r="CS183" s="21"/>
    </row>
    <row r="184" spans="11:97" ht="15.75">
      <c r="K184" s="25"/>
      <c r="M184" s="26"/>
      <c r="N184" s="25"/>
      <c r="P184" s="26"/>
      <c r="Q184" s="25"/>
      <c r="S184" s="26"/>
      <c r="T184" s="25"/>
      <c r="V184" s="26"/>
      <c r="W184" s="25"/>
      <c r="Y184" s="26"/>
      <c r="Z184" s="25"/>
      <c r="AB184" s="26"/>
      <c r="BN184" s="24"/>
      <c r="BO184" s="21"/>
      <c r="BP184" s="21"/>
      <c r="BQ184" s="21"/>
      <c r="BS184" s="22"/>
      <c r="BT184" s="21"/>
      <c r="BU184" s="21"/>
      <c r="CB184" s="21"/>
      <c r="CC184" s="21"/>
      <c r="CD184" s="21"/>
      <c r="CE184" s="21"/>
      <c r="CF184" s="21"/>
      <c r="CI184" s="23"/>
      <c r="CJ184" s="21"/>
      <c r="CK184" s="21"/>
      <c r="CL184" s="21"/>
      <c r="CM184" s="21"/>
      <c r="CQ184" s="21"/>
      <c r="CR184" s="21"/>
      <c r="CS184" s="21"/>
    </row>
    <row r="185" spans="11:97" ht="15.75">
      <c r="K185" s="25"/>
      <c r="M185" s="26"/>
      <c r="N185" s="25"/>
      <c r="P185" s="26"/>
      <c r="Q185" s="25"/>
      <c r="S185" s="26"/>
      <c r="T185" s="25"/>
      <c r="V185" s="26"/>
      <c r="W185" s="25"/>
      <c r="Y185" s="26"/>
      <c r="Z185" s="25"/>
      <c r="AB185" s="26"/>
      <c r="BN185" s="24"/>
      <c r="BO185" s="21"/>
      <c r="BP185" s="21"/>
      <c r="BQ185" s="21"/>
      <c r="BS185" s="22"/>
      <c r="BT185" s="21"/>
      <c r="BU185" s="21"/>
      <c r="CB185" s="21"/>
      <c r="CC185" s="21"/>
      <c r="CD185" s="21"/>
      <c r="CE185" s="21"/>
      <c r="CF185" s="21"/>
      <c r="CI185" s="23"/>
      <c r="CJ185" s="21"/>
      <c r="CK185" s="21"/>
      <c r="CL185" s="21"/>
      <c r="CM185" s="21"/>
      <c r="CQ185" s="21"/>
      <c r="CR185" s="21"/>
      <c r="CS185" s="21"/>
    </row>
    <row r="186" spans="11:97" ht="15.75">
      <c r="K186" s="25"/>
      <c r="M186" s="26"/>
      <c r="N186" s="25"/>
      <c r="P186" s="26"/>
      <c r="Q186" s="25"/>
      <c r="S186" s="26"/>
      <c r="T186" s="25"/>
      <c r="V186" s="26"/>
      <c r="W186" s="25"/>
      <c r="Y186" s="26"/>
      <c r="Z186" s="25"/>
      <c r="AB186" s="26"/>
      <c r="BN186" s="24"/>
      <c r="BO186" s="21"/>
      <c r="BP186" s="21"/>
      <c r="BQ186" s="21"/>
      <c r="BS186" s="22"/>
      <c r="BT186" s="21"/>
      <c r="BU186" s="21"/>
      <c r="CB186" s="21"/>
      <c r="CC186" s="21"/>
      <c r="CD186" s="21"/>
      <c r="CE186" s="21"/>
      <c r="CF186" s="21"/>
      <c r="CI186" s="23"/>
      <c r="CJ186" s="21"/>
      <c r="CK186" s="21"/>
      <c r="CL186" s="21"/>
      <c r="CM186" s="21"/>
      <c r="CQ186" s="21"/>
      <c r="CR186" s="21"/>
      <c r="CS186" s="21"/>
    </row>
    <row r="187" spans="11:97" ht="15.75">
      <c r="K187" s="25"/>
      <c r="M187" s="26"/>
      <c r="N187" s="25"/>
      <c r="P187" s="26"/>
      <c r="Q187" s="25"/>
      <c r="S187" s="26"/>
      <c r="T187" s="25"/>
      <c r="V187" s="26"/>
      <c r="W187" s="25"/>
      <c r="Y187" s="26"/>
      <c r="Z187" s="25"/>
      <c r="AB187" s="26"/>
      <c r="BN187" s="24"/>
      <c r="BO187" s="21"/>
      <c r="BP187" s="21"/>
      <c r="BQ187" s="21"/>
      <c r="BS187" s="22"/>
      <c r="BT187" s="21"/>
      <c r="BU187" s="21"/>
      <c r="CB187" s="21"/>
      <c r="CC187" s="21"/>
      <c r="CD187" s="21"/>
      <c r="CE187" s="21"/>
      <c r="CF187" s="21"/>
      <c r="CI187" s="23"/>
      <c r="CJ187" s="21"/>
      <c r="CK187" s="21"/>
      <c r="CL187" s="21"/>
      <c r="CM187" s="21"/>
      <c r="CQ187" s="21"/>
      <c r="CR187" s="21"/>
      <c r="CS187" s="21"/>
    </row>
    <row r="188" spans="11:97" ht="15.75">
      <c r="K188" s="25"/>
      <c r="M188" s="26"/>
      <c r="N188" s="25"/>
      <c r="P188" s="26"/>
      <c r="Q188" s="25"/>
      <c r="S188" s="26"/>
      <c r="T188" s="25"/>
      <c r="V188" s="26"/>
      <c r="W188" s="25"/>
      <c r="Y188" s="26"/>
      <c r="Z188" s="25"/>
      <c r="AB188" s="26"/>
      <c r="BN188" s="24"/>
      <c r="BO188" s="21"/>
      <c r="BP188" s="21"/>
      <c r="BQ188" s="21"/>
      <c r="BS188" s="22"/>
      <c r="BT188" s="21"/>
      <c r="BU188" s="21"/>
      <c r="CB188" s="21"/>
      <c r="CC188" s="21"/>
      <c r="CD188" s="21"/>
      <c r="CE188" s="21"/>
      <c r="CF188" s="21"/>
      <c r="CI188" s="23"/>
      <c r="CJ188" s="21"/>
      <c r="CK188" s="21"/>
      <c r="CL188" s="21"/>
      <c r="CM188" s="21"/>
      <c r="CQ188" s="21"/>
      <c r="CR188" s="21"/>
      <c r="CS188" s="21"/>
    </row>
    <row r="189" spans="11:97" ht="15.75">
      <c r="K189" s="25"/>
      <c r="M189" s="26"/>
      <c r="N189" s="25"/>
      <c r="P189" s="26"/>
      <c r="Q189" s="25"/>
      <c r="S189" s="26"/>
      <c r="T189" s="25"/>
      <c r="V189" s="26"/>
      <c r="W189" s="25"/>
      <c r="Y189" s="26"/>
      <c r="Z189" s="25"/>
      <c r="AB189" s="26"/>
      <c r="BN189" s="24"/>
      <c r="BO189" s="21"/>
      <c r="BP189" s="21"/>
      <c r="BQ189" s="21"/>
      <c r="BS189" s="22"/>
      <c r="BT189" s="21"/>
      <c r="BU189" s="21"/>
      <c r="CB189" s="21"/>
      <c r="CC189" s="21"/>
      <c r="CD189" s="21"/>
      <c r="CE189" s="21"/>
      <c r="CF189" s="21"/>
      <c r="CI189" s="23"/>
      <c r="CJ189" s="21"/>
      <c r="CK189" s="21"/>
      <c r="CL189" s="21"/>
      <c r="CM189" s="21"/>
      <c r="CQ189" s="21"/>
      <c r="CR189" s="21"/>
      <c r="CS189" s="21"/>
    </row>
    <row r="190" spans="11:97" ht="15.75">
      <c r="K190" s="25"/>
      <c r="M190" s="26"/>
      <c r="N190" s="25"/>
      <c r="P190" s="26"/>
      <c r="Q190" s="25"/>
      <c r="S190" s="26"/>
      <c r="T190" s="25"/>
      <c r="V190" s="26"/>
      <c r="W190" s="25"/>
      <c r="Y190" s="26"/>
      <c r="Z190" s="25"/>
      <c r="AB190" s="26"/>
      <c r="BN190" s="24"/>
      <c r="BO190" s="21"/>
      <c r="BP190" s="21"/>
      <c r="BQ190" s="21"/>
      <c r="BS190" s="22"/>
      <c r="BT190" s="21"/>
      <c r="BU190" s="21"/>
      <c r="CB190" s="21"/>
      <c r="CC190" s="21"/>
      <c r="CD190" s="21"/>
      <c r="CE190" s="21"/>
      <c r="CF190" s="21"/>
      <c r="CI190" s="23"/>
      <c r="CJ190" s="21"/>
      <c r="CK190" s="21"/>
      <c r="CL190" s="21"/>
      <c r="CM190" s="21"/>
      <c r="CQ190" s="21"/>
      <c r="CR190" s="21"/>
      <c r="CS190" s="21"/>
    </row>
    <row r="191" spans="11:97" ht="15.75">
      <c r="K191" s="25"/>
      <c r="M191" s="26"/>
      <c r="N191" s="25"/>
      <c r="P191" s="26"/>
      <c r="Q191" s="25"/>
      <c r="S191" s="26"/>
      <c r="T191" s="25"/>
      <c r="V191" s="26"/>
      <c r="W191" s="25"/>
      <c r="Y191" s="26"/>
      <c r="Z191" s="25"/>
      <c r="AB191" s="26"/>
      <c r="BN191" s="24"/>
      <c r="BO191" s="21"/>
      <c r="BP191" s="21"/>
      <c r="BQ191" s="21"/>
      <c r="BS191" s="22"/>
      <c r="BT191" s="21"/>
      <c r="BU191" s="21"/>
      <c r="CB191" s="21"/>
      <c r="CC191" s="21"/>
      <c r="CD191" s="21"/>
      <c r="CE191" s="21"/>
      <c r="CF191" s="21"/>
      <c r="CI191" s="23"/>
      <c r="CJ191" s="21"/>
      <c r="CK191" s="21"/>
      <c r="CL191" s="21"/>
      <c r="CM191" s="21"/>
      <c r="CQ191" s="21"/>
      <c r="CR191" s="21"/>
      <c r="CS191" s="21"/>
    </row>
    <row r="192" spans="11:97" ht="15.75">
      <c r="K192" s="25"/>
      <c r="M192" s="26"/>
      <c r="N192" s="25"/>
      <c r="P192" s="26"/>
      <c r="Q192" s="25"/>
      <c r="S192" s="26"/>
      <c r="T192" s="25"/>
      <c r="V192" s="26"/>
      <c r="W192" s="25"/>
      <c r="Y192" s="26"/>
      <c r="Z192" s="25"/>
      <c r="AB192" s="26"/>
      <c r="BN192" s="24"/>
      <c r="BO192" s="21"/>
      <c r="BP192" s="21"/>
      <c r="BQ192" s="21"/>
      <c r="BS192" s="22"/>
      <c r="BT192" s="21"/>
      <c r="BU192" s="21"/>
      <c r="CB192" s="21"/>
      <c r="CC192" s="21"/>
      <c r="CD192" s="21"/>
      <c r="CE192" s="21"/>
      <c r="CF192" s="21"/>
      <c r="CI192" s="23"/>
      <c r="CJ192" s="21"/>
      <c r="CK192" s="21"/>
      <c r="CL192" s="21"/>
      <c r="CM192" s="21"/>
      <c r="CQ192" s="21"/>
      <c r="CR192" s="21"/>
      <c r="CS192" s="21"/>
    </row>
    <row r="193" spans="11:97" ht="15.75">
      <c r="K193" s="25"/>
      <c r="M193" s="26"/>
      <c r="N193" s="25"/>
      <c r="P193" s="26"/>
      <c r="Q193" s="25"/>
      <c r="S193" s="26"/>
      <c r="T193" s="25"/>
      <c r="V193" s="26"/>
      <c r="W193" s="25"/>
      <c r="Y193" s="26"/>
      <c r="Z193" s="25"/>
      <c r="AB193" s="26"/>
      <c r="BN193" s="24"/>
      <c r="BO193" s="21"/>
      <c r="BP193" s="21"/>
      <c r="BQ193" s="21"/>
      <c r="BS193" s="22"/>
      <c r="BT193" s="21"/>
      <c r="BU193" s="21"/>
      <c r="CB193" s="21"/>
      <c r="CC193" s="21"/>
      <c r="CD193" s="21"/>
      <c r="CE193" s="21"/>
      <c r="CF193" s="21"/>
      <c r="CI193" s="23"/>
      <c r="CJ193" s="21"/>
      <c r="CK193" s="21"/>
      <c r="CL193" s="21"/>
      <c r="CM193" s="21"/>
      <c r="CQ193" s="21"/>
      <c r="CR193" s="21"/>
      <c r="CS193" s="21"/>
    </row>
    <row r="194" spans="11:97" ht="15.75">
      <c r="K194" s="25"/>
      <c r="M194" s="26"/>
      <c r="N194" s="25"/>
      <c r="P194" s="26"/>
      <c r="Q194" s="25"/>
      <c r="S194" s="26"/>
      <c r="T194" s="25"/>
      <c r="V194" s="26"/>
      <c r="W194" s="25"/>
      <c r="Y194" s="26"/>
      <c r="Z194" s="25"/>
      <c r="AB194" s="26"/>
      <c r="BN194" s="24"/>
      <c r="BO194" s="21"/>
      <c r="BP194" s="21"/>
      <c r="BQ194" s="21"/>
      <c r="BS194" s="22"/>
      <c r="BT194" s="21"/>
      <c r="BU194" s="21"/>
      <c r="CB194" s="21"/>
      <c r="CC194" s="21"/>
      <c r="CD194" s="21"/>
      <c r="CE194" s="21"/>
      <c r="CF194" s="21"/>
      <c r="CI194" s="23"/>
      <c r="CJ194" s="21"/>
      <c r="CK194" s="21"/>
      <c r="CL194" s="21"/>
      <c r="CM194" s="21"/>
      <c r="CQ194" s="21"/>
      <c r="CR194" s="21"/>
      <c r="CS194" s="21"/>
    </row>
    <row r="195" spans="11:97" ht="15.75">
      <c r="K195" s="25"/>
      <c r="M195" s="26"/>
      <c r="N195" s="25"/>
      <c r="P195" s="26"/>
      <c r="Q195" s="25"/>
      <c r="S195" s="26"/>
      <c r="T195" s="25"/>
      <c r="V195" s="26"/>
      <c r="W195" s="25"/>
      <c r="Y195" s="26"/>
      <c r="Z195" s="25"/>
      <c r="AB195" s="26"/>
      <c r="BN195" s="24"/>
      <c r="BO195" s="21"/>
      <c r="BP195" s="21"/>
      <c r="BQ195" s="21"/>
      <c r="BS195" s="22"/>
      <c r="BT195" s="21"/>
      <c r="BU195" s="21"/>
      <c r="CB195" s="21"/>
      <c r="CC195" s="21"/>
      <c r="CD195" s="21"/>
      <c r="CE195" s="21"/>
      <c r="CF195" s="21"/>
      <c r="CI195" s="23"/>
      <c r="CJ195" s="21"/>
      <c r="CK195" s="21"/>
      <c r="CL195" s="21"/>
      <c r="CM195" s="21"/>
      <c r="CQ195" s="21"/>
      <c r="CR195" s="21"/>
      <c r="CS195" s="21"/>
    </row>
    <row r="196" spans="11:97" ht="15.75">
      <c r="K196" s="25"/>
      <c r="M196" s="26"/>
      <c r="N196" s="25"/>
      <c r="P196" s="26"/>
      <c r="Q196" s="25"/>
      <c r="S196" s="26"/>
      <c r="T196" s="25"/>
      <c r="V196" s="26"/>
      <c r="W196" s="25"/>
      <c r="Y196" s="26"/>
      <c r="Z196" s="25"/>
      <c r="AB196" s="26"/>
      <c r="BN196" s="24"/>
      <c r="BO196" s="21"/>
      <c r="BP196" s="21"/>
      <c r="BQ196" s="21"/>
      <c r="BS196" s="22"/>
      <c r="BT196" s="21"/>
      <c r="BU196" s="21"/>
      <c r="CB196" s="21"/>
      <c r="CC196" s="21"/>
      <c r="CD196" s="21"/>
      <c r="CE196" s="21"/>
      <c r="CF196" s="21"/>
      <c r="CI196" s="23"/>
      <c r="CJ196" s="21"/>
      <c r="CK196" s="21"/>
      <c r="CL196" s="21"/>
      <c r="CM196" s="21"/>
      <c r="CQ196" s="21"/>
      <c r="CR196" s="21"/>
      <c r="CS196" s="21"/>
    </row>
    <row r="197" spans="11:97" ht="15.75">
      <c r="K197" s="25"/>
      <c r="M197" s="26"/>
      <c r="N197" s="25"/>
      <c r="P197" s="26"/>
      <c r="Q197" s="25"/>
      <c r="S197" s="26"/>
      <c r="T197" s="25"/>
      <c r="V197" s="26"/>
      <c r="W197" s="25"/>
      <c r="Y197" s="26"/>
      <c r="Z197" s="25"/>
      <c r="AB197" s="26"/>
      <c r="BN197" s="24"/>
      <c r="BO197" s="21"/>
      <c r="BP197" s="21"/>
      <c r="BQ197" s="21"/>
      <c r="BS197" s="22"/>
      <c r="BT197" s="21"/>
      <c r="BU197" s="21"/>
      <c r="CB197" s="21"/>
      <c r="CC197" s="21"/>
      <c r="CD197" s="21"/>
      <c r="CE197" s="21"/>
      <c r="CF197" s="21"/>
      <c r="CI197" s="23"/>
      <c r="CJ197" s="21"/>
      <c r="CK197" s="21"/>
      <c r="CL197" s="21"/>
      <c r="CM197" s="21"/>
      <c r="CQ197" s="21"/>
      <c r="CR197" s="21"/>
      <c r="CS197" s="21"/>
    </row>
    <row r="198" spans="11:97" ht="15.75">
      <c r="K198" s="25"/>
      <c r="M198" s="26"/>
      <c r="N198" s="25"/>
      <c r="P198" s="26"/>
      <c r="Q198" s="25"/>
      <c r="S198" s="26"/>
      <c r="T198" s="25"/>
      <c r="V198" s="26"/>
      <c r="W198" s="25"/>
      <c r="Y198" s="26"/>
      <c r="Z198" s="25"/>
      <c r="AB198" s="26"/>
      <c r="BN198" s="24"/>
      <c r="BO198" s="21"/>
      <c r="BP198" s="21"/>
      <c r="BQ198" s="21"/>
      <c r="BS198" s="22"/>
      <c r="BT198" s="21"/>
      <c r="BU198" s="21"/>
      <c r="CB198" s="21"/>
      <c r="CC198" s="21"/>
      <c r="CD198" s="21"/>
      <c r="CE198" s="21"/>
      <c r="CF198" s="21"/>
      <c r="CI198" s="23"/>
      <c r="CJ198" s="21"/>
      <c r="CK198" s="21"/>
      <c r="CL198" s="21"/>
      <c r="CM198" s="21"/>
      <c r="CQ198" s="21"/>
      <c r="CR198" s="21"/>
      <c r="CS198" s="21"/>
    </row>
    <row r="199" spans="11:97" ht="15.75">
      <c r="K199" s="25"/>
      <c r="M199" s="26"/>
      <c r="N199" s="25"/>
      <c r="P199" s="26"/>
      <c r="Q199" s="25"/>
      <c r="S199" s="26"/>
      <c r="T199" s="25"/>
      <c r="V199" s="26"/>
      <c r="W199" s="25"/>
      <c r="Y199" s="26"/>
      <c r="Z199" s="25"/>
      <c r="AB199" s="26"/>
      <c r="BN199" s="24"/>
      <c r="BO199" s="21"/>
      <c r="BP199" s="21"/>
      <c r="BQ199" s="21"/>
      <c r="BS199" s="22"/>
      <c r="BT199" s="21"/>
      <c r="BU199" s="21"/>
      <c r="CB199" s="21"/>
      <c r="CC199" s="21"/>
      <c r="CD199" s="21"/>
      <c r="CE199" s="21"/>
      <c r="CF199" s="21"/>
      <c r="CI199" s="23"/>
      <c r="CJ199" s="21"/>
      <c r="CK199" s="21"/>
      <c r="CL199" s="21"/>
      <c r="CM199" s="21"/>
      <c r="CQ199" s="21"/>
      <c r="CR199" s="21"/>
      <c r="CS199" s="21"/>
    </row>
    <row r="200" spans="11:97" ht="15.75">
      <c r="K200" s="25"/>
      <c r="M200" s="26"/>
      <c r="N200" s="25"/>
      <c r="P200" s="26"/>
      <c r="Q200" s="25"/>
      <c r="S200" s="26"/>
      <c r="T200" s="25"/>
      <c r="V200" s="26"/>
      <c r="W200" s="25"/>
      <c r="Y200" s="26"/>
      <c r="Z200" s="25"/>
      <c r="AB200" s="26"/>
      <c r="BN200" s="24"/>
      <c r="BO200" s="21"/>
      <c r="BP200" s="21"/>
      <c r="BQ200" s="21"/>
      <c r="BS200" s="22"/>
      <c r="BT200" s="21"/>
      <c r="BU200" s="21"/>
      <c r="CB200" s="21"/>
      <c r="CC200" s="21"/>
      <c r="CD200" s="21"/>
      <c r="CE200" s="21"/>
      <c r="CF200" s="21"/>
      <c r="CI200" s="23"/>
      <c r="CJ200" s="21"/>
      <c r="CK200" s="21"/>
      <c r="CL200" s="21"/>
      <c r="CM200" s="21"/>
      <c r="CQ200" s="21"/>
      <c r="CR200" s="21"/>
      <c r="CS200" s="21"/>
    </row>
    <row r="201" spans="11:97" ht="15.75">
      <c r="K201" s="25"/>
      <c r="M201" s="26"/>
      <c r="N201" s="25"/>
      <c r="P201" s="26"/>
      <c r="Q201" s="25"/>
      <c r="S201" s="26"/>
      <c r="T201" s="25"/>
      <c r="V201" s="26"/>
      <c r="W201" s="25"/>
      <c r="Y201" s="26"/>
      <c r="Z201" s="25"/>
      <c r="AB201" s="26"/>
      <c r="BN201" s="24"/>
      <c r="BO201" s="21"/>
      <c r="BP201" s="21"/>
      <c r="BQ201" s="21"/>
      <c r="BS201" s="22"/>
      <c r="BT201" s="21"/>
      <c r="BU201" s="21"/>
      <c r="CB201" s="21"/>
      <c r="CC201" s="21"/>
      <c r="CD201" s="21"/>
      <c r="CE201" s="21"/>
      <c r="CF201" s="21"/>
      <c r="CI201" s="23"/>
      <c r="CJ201" s="21"/>
      <c r="CK201" s="21"/>
      <c r="CL201" s="21"/>
      <c r="CM201" s="21"/>
      <c r="CQ201" s="21"/>
      <c r="CR201" s="21"/>
      <c r="CS201" s="21"/>
    </row>
    <row r="202" spans="11:97" ht="15.75">
      <c r="K202" s="25"/>
      <c r="M202" s="26"/>
      <c r="N202" s="25"/>
      <c r="P202" s="26"/>
      <c r="Q202" s="25"/>
      <c r="S202" s="26"/>
      <c r="T202" s="25"/>
      <c r="V202" s="26"/>
      <c r="W202" s="25"/>
      <c r="Y202" s="26"/>
      <c r="Z202" s="25"/>
      <c r="AB202" s="26"/>
      <c r="BN202" s="24"/>
      <c r="BO202" s="21"/>
      <c r="BP202" s="21"/>
      <c r="BQ202" s="21"/>
      <c r="BS202" s="22"/>
      <c r="BT202" s="21"/>
      <c r="BU202" s="21"/>
      <c r="CB202" s="21"/>
      <c r="CC202" s="21"/>
      <c r="CD202" s="21"/>
      <c r="CE202" s="21"/>
      <c r="CF202" s="21"/>
      <c r="CI202" s="23"/>
      <c r="CJ202" s="21"/>
      <c r="CK202" s="21"/>
      <c r="CL202" s="21"/>
      <c r="CM202" s="21"/>
      <c r="CQ202" s="21"/>
      <c r="CR202" s="21"/>
      <c r="CS202" s="21"/>
    </row>
    <row r="203" spans="11:97" ht="15.75">
      <c r="K203" s="25"/>
      <c r="M203" s="26"/>
      <c r="N203" s="25"/>
      <c r="P203" s="26"/>
      <c r="Q203" s="25"/>
      <c r="S203" s="26"/>
      <c r="T203" s="25"/>
      <c r="V203" s="26"/>
      <c r="W203" s="25"/>
      <c r="Y203" s="26"/>
      <c r="Z203" s="25"/>
      <c r="AB203" s="26"/>
      <c r="BN203" s="24"/>
      <c r="BO203" s="21"/>
      <c r="BP203" s="21"/>
      <c r="BQ203" s="21"/>
      <c r="BS203" s="22"/>
      <c r="BT203" s="21"/>
      <c r="BU203" s="21"/>
      <c r="CB203" s="21"/>
      <c r="CC203" s="21"/>
      <c r="CD203" s="21"/>
      <c r="CE203" s="21"/>
      <c r="CF203" s="21"/>
      <c r="CI203" s="23"/>
      <c r="CJ203" s="21"/>
      <c r="CK203" s="21"/>
      <c r="CL203" s="21"/>
      <c r="CM203" s="21"/>
      <c r="CQ203" s="21"/>
      <c r="CR203" s="21"/>
      <c r="CS203" s="21"/>
    </row>
    <row r="204" spans="11:97" ht="15.75">
      <c r="K204" s="25"/>
      <c r="M204" s="26"/>
      <c r="N204" s="25"/>
      <c r="P204" s="26"/>
      <c r="Q204" s="25"/>
      <c r="S204" s="26"/>
      <c r="T204" s="25"/>
      <c r="V204" s="26"/>
      <c r="W204" s="25"/>
      <c r="Y204" s="26"/>
      <c r="Z204" s="25"/>
      <c r="AB204" s="26"/>
      <c r="BN204" s="24"/>
      <c r="BO204" s="21"/>
      <c r="BP204" s="21"/>
      <c r="BQ204" s="21"/>
      <c r="BS204" s="22"/>
      <c r="BT204" s="21"/>
      <c r="BU204" s="21"/>
      <c r="CB204" s="21"/>
      <c r="CC204" s="21"/>
      <c r="CD204" s="21"/>
      <c r="CE204" s="21"/>
      <c r="CF204" s="21"/>
      <c r="CI204" s="23"/>
      <c r="CJ204" s="21"/>
      <c r="CK204" s="21"/>
      <c r="CL204" s="21"/>
      <c r="CM204" s="21"/>
      <c r="CQ204" s="21"/>
      <c r="CR204" s="21"/>
      <c r="CS204" s="21"/>
    </row>
    <row r="205" spans="11:97" ht="15.75">
      <c r="K205" s="25"/>
      <c r="M205" s="26"/>
      <c r="N205" s="25"/>
      <c r="P205" s="26"/>
      <c r="Q205" s="25"/>
      <c r="S205" s="26"/>
      <c r="T205" s="25"/>
      <c r="V205" s="26"/>
      <c r="W205" s="25"/>
      <c r="Y205" s="26"/>
      <c r="Z205" s="25"/>
      <c r="AB205" s="26"/>
      <c r="BN205" s="24"/>
      <c r="BO205" s="21"/>
      <c r="BP205" s="21"/>
      <c r="BQ205" s="21"/>
      <c r="BS205" s="22"/>
      <c r="BT205" s="21"/>
      <c r="BU205" s="21"/>
      <c r="CB205" s="21"/>
      <c r="CC205" s="21"/>
      <c r="CD205" s="21"/>
      <c r="CE205" s="21"/>
      <c r="CF205" s="21"/>
      <c r="CI205" s="23"/>
      <c r="CJ205" s="21"/>
      <c r="CK205" s="21"/>
      <c r="CL205" s="21"/>
      <c r="CM205" s="21"/>
      <c r="CQ205" s="21"/>
      <c r="CR205" s="21"/>
      <c r="CS205" s="21"/>
    </row>
    <row r="206" spans="11:97" ht="15.75">
      <c r="K206" s="25"/>
      <c r="M206" s="26"/>
      <c r="N206" s="25"/>
      <c r="P206" s="26"/>
      <c r="Q206" s="25"/>
      <c r="S206" s="26"/>
      <c r="T206" s="25"/>
      <c r="V206" s="26"/>
      <c r="W206" s="25"/>
      <c r="Y206" s="26"/>
      <c r="Z206" s="25"/>
      <c r="AB206" s="26"/>
      <c r="BN206" s="24"/>
      <c r="BO206" s="21"/>
      <c r="BP206" s="21"/>
      <c r="BQ206" s="21"/>
      <c r="BS206" s="22"/>
      <c r="BT206" s="21"/>
      <c r="BU206" s="21"/>
      <c r="CB206" s="21"/>
      <c r="CC206" s="21"/>
      <c r="CD206" s="21"/>
      <c r="CE206" s="21"/>
      <c r="CF206" s="21"/>
      <c r="CI206" s="23"/>
      <c r="CJ206" s="21"/>
      <c r="CK206" s="21"/>
      <c r="CL206" s="21"/>
      <c r="CM206" s="21"/>
      <c r="CQ206" s="21"/>
      <c r="CR206" s="21"/>
      <c r="CS206" s="21"/>
    </row>
    <row r="207" spans="11:97" ht="15.75">
      <c r="K207" s="25"/>
      <c r="M207" s="26"/>
      <c r="N207" s="25"/>
      <c r="P207" s="26"/>
      <c r="Q207" s="25"/>
      <c r="S207" s="26"/>
      <c r="T207" s="25"/>
      <c r="V207" s="26"/>
      <c r="W207" s="25"/>
      <c r="Y207" s="26"/>
      <c r="Z207" s="25"/>
      <c r="AB207" s="26"/>
      <c r="BN207" s="24"/>
      <c r="BO207" s="21"/>
      <c r="BP207" s="21"/>
      <c r="BQ207" s="21"/>
      <c r="BS207" s="22"/>
      <c r="BT207" s="21"/>
      <c r="BU207" s="21"/>
      <c r="CB207" s="21"/>
      <c r="CC207" s="21"/>
      <c r="CD207" s="21"/>
      <c r="CE207" s="21"/>
      <c r="CF207" s="21"/>
      <c r="CI207" s="23"/>
      <c r="CJ207" s="21"/>
      <c r="CK207" s="21"/>
      <c r="CL207" s="21"/>
      <c r="CM207" s="21"/>
      <c r="CQ207" s="21"/>
      <c r="CR207" s="21"/>
      <c r="CS207" s="21"/>
    </row>
    <row r="208" spans="11:97" ht="15.75">
      <c r="K208" s="25"/>
      <c r="M208" s="26"/>
      <c r="N208" s="25"/>
      <c r="P208" s="26"/>
      <c r="Q208" s="25"/>
      <c r="S208" s="26"/>
      <c r="T208" s="25"/>
      <c r="V208" s="26"/>
      <c r="W208" s="25"/>
      <c r="Y208" s="26"/>
      <c r="Z208" s="25"/>
      <c r="AB208" s="26"/>
      <c r="BN208" s="24"/>
      <c r="BO208" s="21"/>
      <c r="BP208" s="21"/>
      <c r="BQ208" s="21"/>
      <c r="BS208" s="22"/>
      <c r="BT208" s="21"/>
      <c r="BU208" s="21"/>
      <c r="CB208" s="21"/>
      <c r="CC208" s="21"/>
      <c r="CD208" s="21"/>
      <c r="CE208" s="21"/>
      <c r="CF208" s="21"/>
      <c r="CI208" s="23"/>
      <c r="CJ208" s="21"/>
      <c r="CK208" s="21"/>
      <c r="CL208" s="21"/>
      <c r="CM208" s="21"/>
      <c r="CQ208" s="21"/>
      <c r="CR208" s="21"/>
      <c r="CS208" s="21"/>
    </row>
    <row r="209" spans="11:97" ht="15.75">
      <c r="K209" s="25"/>
      <c r="M209" s="26"/>
      <c r="N209" s="25"/>
      <c r="P209" s="26"/>
      <c r="Q209" s="25"/>
      <c r="S209" s="26"/>
      <c r="T209" s="25"/>
      <c r="V209" s="26"/>
      <c r="W209" s="25"/>
      <c r="Y209" s="26"/>
      <c r="Z209" s="25"/>
      <c r="AB209" s="26"/>
      <c r="BN209" s="24"/>
      <c r="BO209" s="21"/>
      <c r="BP209" s="21"/>
      <c r="BQ209" s="21"/>
      <c r="BS209" s="22"/>
      <c r="BT209" s="21"/>
      <c r="BU209" s="21"/>
      <c r="CB209" s="21"/>
      <c r="CC209" s="21"/>
      <c r="CD209" s="21"/>
      <c r="CE209" s="21"/>
      <c r="CF209" s="21"/>
      <c r="CI209" s="23"/>
      <c r="CJ209" s="21"/>
      <c r="CK209" s="21"/>
      <c r="CL209" s="21"/>
      <c r="CM209" s="21"/>
      <c r="CQ209" s="21"/>
      <c r="CR209" s="21"/>
      <c r="CS209" s="21"/>
    </row>
    <row r="210" spans="11:97" ht="15.75">
      <c r="K210" s="25"/>
      <c r="M210" s="26"/>
      <c r="N210" s="25"/>
      <c r="P210" s="26"/>
      <c r="Q210" s="25"/>
      <c r="S210" s="26"/>
      <c r="T210" s="25"/>
      <c r="V210" s="26"/>
      <c r="W210" s="25"/>
      <c r="Y210" s="26"/>
      <c r="Z210" s="25"/>
      <c r="AB210" s="26"/>
      <c r="BN210" s="24"/>
      <c r="BO210" s="21"/>
      <c r="BP210" s="21"/>
      <c r="BQ210" s="21"/>
      <c r="BS210" s="22"/>
      <c r="BT210" s="21"/>
      <c r="BU210" s="21"/>
      <c r="CB210" s="21"/>
      <c r="CC210" s="21"/>
      <c r="CD210" s="21"/>
      <c r="CE210" s="21"/>
      <c r="CF210" s="21"/>
      <c r="CI210" s="23"/>
      <c r="CJ210" s="21"/>
      <c r="CK210" s="21"/>
      <c r="CL210" s="21"/>
      <c r="CM210" s="21"/>
      <c r="CQ210" s="21"/>
      <c r="CR210" s="21"/>
      <c r="CS210" s="21"/>
    </row>
    <row r="211" spans="11:97" ht="15.75">
      <c r="K211" s="25"/>
      <c r="M211" s="26"/>
      <c r="N211" s="25"/>
      <c r="P211" s="26"/>
      <c r="Q211" s="25"/>
      <c r="S211" s="26"/>
      <c r="T211" s="25"/>
      <c r="V211" s="26"/>
      <c r="W211" s="25"/>
      <c r="Y211" s="26"/>
      <c r="Z211" s="25"/>
      <c r="AB211" s="26"/>
      <c r="BN211" s="24"/>
      <c r="BO211" s="21"/>
      <c r="BP211" s="21"/>
      <c r="BQ211" s="21"/>
      <c r="BS211" s="22"/>
      <c r="BT211" s="21"/>
      <c r="BU211" s="21"/>
      <c r="CB211" s="21"/>
      <c r="CC211" s="21"/>
      <c r="CD211" s="21"/>
      <c r="CE211" s="21"/>
      <c r="CF211" s="21"/>
      <c r="CI211" s="23"/>
      <c r="CJ211" s="21"/>
      <c r="CK211" s="21"/>
      <c r="CL211" s="21"/>
      <c r="CM211" s="21"/>
      <c r="CQ211" s="21"/>
      <c r="CR211" s="21"/>
      <c r="CS211" s="21"/>
    </row>
    <row r="212" spans="11:97" ht="15.75">
      <c r="K212" s="25"/>
      <c r="M212" s="26"/>
      <c r="N212" s="25"/>
      <c r="P212" s="26"/>
      <c r="Q212" s="25"/>
      <c r="S212" s="26"/>
      <c r="T212" s="25"/>
      <c r="V212" s="26"/>
      <c r="W212" s="25"/>
      <c r="Y212" s="26"/>
      <c r="Z212" s="25"/>
      <c r="AB212" s="26"/>
      <c r="BN212" s="24"/>
      <c r="BO212" s="21"/>
      <c r="BP212" s="21"/>
      <c r="BQ212" s="21"/>
      <c r="BS212" s="22"/>
      <c r="BT212" s="21"/>
      <c r="BU212" s="21"/>
      <c r="CB212" s="21"/>
      <c r="CC212" s="21"/>
      <c r="CD212" s="21"/>
      <c r="CE212" s="21"/>
      <c r="CF212" s="21"/>
      <c r="CI212" s="23"/>
      <c r="CJ212" s="21"/>
      <c r="CK212" s="21"/>
      <c r="CL212" s="21"/>
      <c r="CM212" s="21"/>
      <c r="CQ212" s="21"/>
      <c r="CR212" s="21"/>
      <c r="CS212" s="21"/>
    </row>
    <row r="213" spans="11:97" ht="15.75">
      <c r="K213" s="25"/>
      <c r="M213" s="26"/>
      <c r="N213" s="25"/>
      <c r="P213" s="26"/>
      <c r="Q213" s="25"/>
      <c r="S213" s="26"/>
      <c r="T213" s="25"/>
      <c r="V213" s="26"/>
      <c r="W213" s="25"/>
      <c r="Y213" s="26"/>
      <c r="Z213" s="25"/>
      <c r="AB213" s="26"/>
      <c r="BN213" s="24"/>
      <c r="BO213" s="21"/>
      <c r="BP213" s="21"/>
      <c r="BQ213" s="21"/>
      <c r="BS213" s="22"/>
      <c r="BT213" s="21"/>
      <c r="BU213" s="21"/>
      <c r="CB213" s="21"/>
      <c r="CC213" s="21"/>
      <c r="CD213" s="21"/>
      <c r="CE213" s="21"/>
      <c r="CF213" s="21"/>
      <c r="CI213" s="23"/>
      <c r="CJ213" s="21"/>
      <c r="CK213" s="21"/>
      <c r="CL213" s="21"/>
      <c r="CM213" s="21"/>
      <c r="CQ213" s="21"/>
      <c r="CR213" s="21"/>
      <c r="CS213" s="21"/>
    </row>
    <row r="214" spans="11:97" ht="15.75">
      <c r="K214" s="25"/>
      <c r="M214" s="26"/>
      <c r="N214" s="25"/>
      <c r="P214" s="26"/>
      <c r="Q214" s="25"/>
      <c r="S214" s="26"/>
      <c r="T214" s="25"/>
      <c r="V214" s="26"/>
      <c r="W214" s="25"/>
      <c r="Y214" s="26"/>
      <c r="Z214" s="25"/>
      <c r="AB214" s="26"/>
      <c r="BN214" s="24"/>
      <c r="BO214" s="21"/>
      <c r="BP214" s="21"/>
      <c r="BQ214" s="21"/>
      <c r="BS214" s="22"/>
      <c r="BT214" s="21"/>
      <c r="BU214" s="21"/>
      <c r="CB214" s="21"/>
      <c r="CC214" s="21"/>
      <c r="CD214" s="21"/>
      <c r="CE214" s="21"/>
      <c r="CF214" s="21"/>
      <c r="CI214" s="23"/>
      <c r="CJ214" s="21"/>
      <c r="CK214" s="21"/>
      <c r="CL214" s="21"/>
      <c r="CM214" s="21"/>
      <c r="CQ214" s="21"/>
      <c r="CR214" s="21"/>
      <c r="CS214" s="21"/>
    </row>
    <row r="215" spans="11:97" ht="15.75">
      <c r="K215" s="25"/>
      <c r="M215" s="26"/>
      <c r="N215" s="25"/>
      <c r="P215" s="26"/>
      <c r="Q215" s="25"/>
      <c r="S215" s="26"/>
      <c r="T215" s="25"/>
      <c r="V215" s="26"/>
      <c r="W215" s="25"/>
      <c r="Y215" s="26"/>
      <c r="Z215" s="25"/>
      <c r="AB215" s="26"/>
      <c r="BN215" s="24"/>
      <c r="BO215" s="21"/>
      <c r="BP215" s="21"/>
      <c r="BQ215" s="21"/>
      <c r="BS215" s="22"/>
      <c r="BT215" s="21"/>
      <c r="BU215" s="21"/>
      <c r="CB215" s="21"/>
      <c r="CC215" s="21"/>
      <c r="CD215" s="21"/>
      <c r="CE215" s="21"/>
      <c r="CF215" s="21"/>
      <c r="CI215" s="23"/>
      <c r="CJ215" s="21"/>
      <c r="CK215" s="21"/>
      <c r="CL215" s="21"/>
      <c r="CM215" s="21"/>
      <c r="CQ215" s="21"/>
      <c r="CR215" s="21"/>
      <c r="CS215" s="21"/>
    </row>
    <row r="216" spans="11:97" ht="15.75">
      <c r="K216" s="25"/>
      <c r="M216" s="26"/>
      <c r="N216" s="25"/>
      <c r="P216" s="26"/>
      <c r="Q216" s="25"/>
      <c r="S216" s="26"/>
      <c r="T216" s="25"/>
      <c r="V216" s="26"/>
      <c r="W216" s="25"/>
      <c r="Y216" s="26"/>
      <c r="Z216" s="25"/>
      <c r="AB216" s="26"/>
      <c r="BN216" s="24"/>
      <c r="BO216" s="21"/>
      <c r="BP216" s="21"/>
      <c r="BQ216" s="21"/>
      <c r="BS216" s="22"/>
      <c r="BT216" s="21"/>
      <c r="BU216" s="21"/>
      <c r="CB216" s="21"/>
      <c r="CC216" s="21"/>
      <c r="CD216" s="21"/>
      <c r="CE216" s="21"/>
      <c r="CF216" s="21"/>
      <c r="CI216" s="23"/>
      <c r="CJ216" s="21"/>
      <c r="CK216" s="21"/>
      <c r="CL216" s="21"/>
      <c r="CM216" s="21"/>
      <c r="CQ216" s="21"/>
      <c r="CR216" s="21"/>
      <c r="CS216" s="21"/>
    </row>
    <row r="217" spans="11:97" ht="15.75">
      <c r="K217" s="25"/>
      <c r="M217" s="26"/>
      <c r="N217" s="25"/>
      <c r="P217" s="26"/>
      <c r="Q217" s="25"/>
      <c r="S217" s="26"/>
      <c r="T217" s="25"/>
      <c r="V217" s="26"/>
      <c r="W217" s="25"/>
      <c r="Y217" s="26"/>
      <c r="Z217" s="25"/>
      <c r="AB217" s="26"/>
      <c r="BN217" s="24"/>
      <c r="BO217" s="21"/>
      <c r="BP217" s="21"/>
      <c r="BQ217" s="21"/>
      <c r="BS217" s="22"/>
      <c r="BT217" s="21"/>
      <c r="BU217" s="21"/>
      <c r="CB217" s="21"/>
      <c r="CC217" s="21"/>
      <c r="CD217" s="21"/>
      <c r="CE217" s="21"/>
      <c r="CF217" s="21"/>
      <c r="CI217" s="23"/>
      <c r="CJ217" s="21"/>
      <c r="CK217" s="21"/>
      <c r="CL217" s="21"/>
      <c r="CM217" s="21"/>
      <c r="CQ217" s="21"/>
      <c r="CR217" s="21"/>
      <c r="CS217" s="21"/>
    </row>
    <row r="218" spans="11:97" ht="15.75">
      <c r="K218" s="25"/>
      <c r="M218" s="26"/>
      <c r="N218" s="25"/>
      <c r="P218" s="26"/>
      <c r="Q218" s="25"/>
      <c r="S218" s="26"/>
      <c r="T218" s="25"/>
      <c r="V218" s="26"/>
      <c r="W218" s="25"/>
      <c r="Y218" s="26"/>
      <c r="Z218" s="25"/>
      <c r="AB218" s="26"/>
      <c r="BN218" s="24"/>
      <c r="BO218" s="21"/>
      <c r="BP218" s="21"/>
      <c r="BQ218" s="21"/>
      <c r="BS218" s="22"/>
      <c r="BT218" s="21"/>
      <c r="BU218" s="21"/>
      <c r="CB218" s="21"/>
      <c r="CC218" s="21"/>
      <c r="CD218" s="21"/>
      <c r="CE218" s="21"/>
      <c r="CF218" s="21"/>
      <c r="CI218" s="23"/>
      <c r="CJ218" s="21"/>
      <c r="CK218" s="21"/>
      <c r="CL218" s="21"/>
      <c r="CM218" s="21"/>
      <c r="CQ218" s="21"/>
      <c r="CR218" s="21"/>
      <c r="CS218" s="21"/>
    </row>
    <row r="219" spans="11:97" ht="15.75">
      <c r="K219" s="25"/>
      <c r="M219" s="26"/>
      <c r="N219" s="25"/>
      <c r="P219" s="26"/>
      <c r="Q219" s="25"/>
      <c r="S219" s="26"/>
      <c r="T219" s="25"/>
      <c r="V219" s="26"/>
      <c r="W219" s="25"/>
      <c r="Y219" s="26"/>
      <c r="Z219" s="25"/>
      <c r="AB219" s="26"/>
      <c r="BN219" s="24"/>
      <c r="BO219" s="21"/>
      <c r="BP219" s="21"/>
      <c r="BQ219" s="21"/>
      <c r="BS219" s="22"/>
      <c r="BT219" s="21"/>
      <c r="BU219" s="21"/>
      <c r="CB219" s="21"/>
      <c r="CC219" s="21"/>
      <c r="CD219" s="21"/>
      <c r="CE219" s="21"/>
      <c r="CF219" s="21"/>
      <c r="CI219" s="23"/>
      <c r="CJ219" s="21"/>
      <c r="CK219" s="21"/>
      <c r="CL219" s="21"/>
      <c r="CM219" s="21"/>
      <c r="CQ219" s="21"/>
      <c r="CR219" s="21"/>
      <c r="CS219" s="21"/>
    </row>
    <row r="220" spans="11:97" ht="15.75">
      <c r="K220" s="25"/>
      <c r="M220" s="26"/>
      <c r="N220" s="25"/>
      <c r="P220" s="26"/>
      <c r="Q220" s="25"/>
      <c r="S220" s="26"/>
      <c r="T220" s="25"/>
      <c r="V220" s="26"/>
      <c r="W220" s="25"/>
      <c r="Y220" s="26"/>
      <c r="Z220" s="25"/>
      <c r="AB220" s="26"/>
      <c r="BN220" s="24"/>
      <c r="BO220" s="21"/>
      <c r="BP220" s="21"/>
      <c r="BQ220" s="21"/>
      <c r="BS220" s="22"/>
      <c r="BT220" s="21"/>
      <c r="BU220" s="21"/>
      <c r="CB220" s="21"/>
      <c r="CC220" s="21"/>
      <c r="CD220" s="21"/>
      <c r="CE220" s="21"/>
      <c r="CF220" s="21"/>
      <c r="CI220" s="23"/>
      <c r="CJ220" s="21"/>
      <c r="CK220" s="21"/>
      <c r="CL220" s="21"/>
      <c r="CM220" s="21"/>
      <c r="CQ220" s="21"/>
      <c r="CR220" s="21"/>
      <c r="CS220" s="21"/>
    </row>
    <row r="221" spans="11:97" ht="15.75">
      <c r="K221" s="25"/>
      <c r="M221" s="26"/>
      <c r="N221" s="25"/>
      <c r="P221" s="26"/>
      <c r="Q221" s="25"/>
      <c r="S221" s="26"/>
      <c r="T221" s="25"/>
      <c r="V221" s="26"/>
      <c r="W221" s="25"/>
      <c r="Y221" s="26"/>
      <c r="Z221" s="25"/>
      <c r="AB221" s="26"/>
      <c r="BN221" s="24"/>
      <c r="BO221" s="21"/>
      <c r="BP221" s="21"/>
      <c r="BQ221" s="21"/>
      <c r="BS221" s="22"/>
      <c r="BT221" s="21"/>
      <c r="BU221" s="21"/>
      <c r="CB221" s="21"/>
      <c r="CC221" s="21"/>
      <c r="CD221" s="21"/>
      <c r="CE221" s="21"/>
      <c r="CF221" s="21"/>
      <c r="CI221" s="23"/>
      <c r="CJ221" s="21"/>
      <c r="CK221" s="21"/>
      <c r="CL221" s="21"/>
      <c r="CM221" s="21"/>
      <c r="CQ221" s="21"/>
      <c r="CR221" s="21"/>
      <c r="CS221" s="21"/>
    </row>
    <row r="222" spans="11:97" ht="15.75">
      <c r="K222" s="25"/>
      <c r="M222" s="26"/>
      <c r="N222" s="25"/>
      <c r="P222" s="26"/>
      <c r="Q222" s="25"/>
      <c r="S222" s="26"/>
      <c r="T222" s="25"/>
      <c r="V222" s="26"/>
      <c r="W222" s="25"/>
      <c r="Y222" s="26"/>
      <c r="Z222" s="25"/>
      <c r="AB222" s="26"/>
      <c r="BN222" s="24"/>
      <c r="BO222" s="21"/>
      <c r="BP222" s="21"/>
      <c r="BQ222" s="21"/>
      <c r="BS222" s="22"/>
      <c r="BT222" s="21"/>
      <c r="BU222" s="21"/>
      <c r="CB222" s="21"/>
      <c r="CC222" s="21"/>
      <c r="CD222" s="21"/>
      <c r="CE222" s="21"/>
      <c r="CF222" s="21"/>
      <c r="CI222" s="23"/>
      <c r="CJ222" s="21"/>
      <c r="CK222" s="21"/>
      <c r="CL222" s="21"/>
      <c r="CM222" s="21"/>
      <c r="CQ222" s="21"/>
      <c r="CR222" s="21"/>
      <c r="CS222" s="21"/>
    </row>
    <row r="223" spans="11:97" ht="15.75">
      <c r="K223" s="25"/>
      <c r="M223" s="26"/>
      <c r="N223" s="25"/>
      <c r="P223" s="26"/>
      <c r="Q223" s="25"/>
      <c r="S223" s="26"/>
      <c r="T223" s="25"/>
      <c r="V223" s="26"/>
      <c r="W223" s="25"/>
      <c r="Y223" s="26"/>
      <c r="Z223" s="25"/>
      <c r="AB223" s="26"/>
      <c r="BN223" s="24"/>
      <c r="BO223" s="21"/>
      <c r="BP223" s="21"/>
      <c r="BQ223" s="21"/>
      <c r="BS223" s="22"/>
      <c r="BT223" s="21"/>
      <c r="BU223" s="21"/>
      <c r="CB223" s="21"/>
      <c r="CC223" s="21"/>
      <c r="CD223" s="21"/>
      <c r="CE223" s="21"/>
      <c r="CF223" s="21"/>
      <c r="CI223" s="23"/>
      <c r="CJ223" s="21"/>
      <c r="CK223" s="21"/>
      <c r="CL223" s="21"/>
      <c r="CM223" s="21"/>
      <c r="CQ223" s="21"/>
      <c r="CR223" s="21"/>
      <c r="CS223" s="21"/>
    </row>
    <row r="224" spans="11:97" ht="15.75">
      <c r="K224" s="25"/>
      <c r="M224" s="26"/>
      <c r="N224" s="25"/>
      <c r="P224" s="26"/>
      <c r="Q224" s="25"/>
      <c r="S224" s="26"/>
      <c r="T224" s="25"/>
      <c r="V224" s="26"/>
      <c r="W224" s="25"/>
      <c r="Y224" s="26"/>
      <c r="Z224" s="25"/>
      <c r="AB224" s="26"/>
      <c r="BN224" s="24"/>
      <c r="BO224" s="21"/>
      <c r="BP224" s="21"/>
      <c r="BQ224" s="21"/>
      <c r="BS224" s="22"/>
      <c r="BT224" s="21"/>
      <c r="BU224" s="21"/>
      <c r="CB224" s="21"/>
      <c r="CC224" s="21"/>
      <c r="CD224" s="21"/>
      <c r="CE224" s="21"/>
      <c r="CF224" s="21"/>
      <c r="CI224" s="23"/>
      <c r="CJ224" s="21"/>
      <c r="CK224" s="21"/>
      <c r="CL224" s="21"/>
      <c r="CM224" s="21"/>
      <c r="CQ224" s="21"/>
      <c r="CR224" s="21"/>
      <c r="CS224" s="21"/>
    </row>
    <row r="225" spans="6:97" ht="15.75">
      <c r="K225" s="25"/>
      <c r="M225" s="26"/>
      <c r="N225" s="25"/>
      <c r="P225" s="26"/>
      <c r="Q225" s="25"/>
      <c r="S225" s="26"/>
      <c r="T225" s="25"/>
      <c r="V225" s="26"/>
      <c r="W225" s="25"/>
      <c r="Y225" s="26"/>
      <c r="Z225" s="25"/>
      <c r="AB225" s="26"/>
      <c r="BN225" s="24"/>
      <c r="BO225" s="21"/>
      <c r="BP225" s="21"/>
      <c r="BQ225" s="21"/>
      <c r="BS225" s="22"/>
      <c r="BT225" s="21"/>
      <c r="BU225" s="21"/>
      <c r="CB225" s="21"/>
      <c r="CC225" s="21"/>
      <c r="CD225" s="21"/>
      <c r="CE225" s="21"/>
      <c r="CF225" s="21"/>
      <c r="CI225" s="23"/>
      <c r="CJ225" s="21"/>
      <c r="CK225" s="21"/>
      <c r="CL225" s="21"/>
      <c r="CM225" s="21"/>
      <c r="CQ225" s="21"/>
      <c r="CR225" s="21"/>
      <c r="CS225" s="21"/>
    </row>
    <row r="226" spans="6:97" ht="15.75">
      <c r="K226" s="25"/>
      <c r="M226" s="26"/>
      <c r="N226" s="25"/>
      <c r="P226" s="26"/>
      <c r="Q226" s="25"/>
      <c r="S226" s="26"/>
      <c r="T226" s="25"/>
      <c r="V226" s="26"/>
      <c r="W226" s="25"/>
      <c r="Y226" s="26"/>
      <c r="Z226" s="25"/>
      <c r="AB226" s="26"/>
      <c r="BN226" s="24"/>
      <c r="BO226" s="21"/>
      <c r="BP226" s="21"/>
      <c r="BQ226" s="21"/>
      <c r="BS226" s="22"/>
      <c r="BT226" s="21"/>
      <c r="BU226" s="21"/>
      <c r="CB226" s="21"/>
      <c r="CC226" s="21"/>
      <c r="CD226" s="21"/>
      <c r="CE226" s="21"/>
      <c r="CF226" s="21"/>
      <c r="CI226" s="23"/>
      <c r="CJ226" s="21"/>
      <c r="CK226" s="21"/>
      <c r="CL226" s="21"/>
      <c r="CM226" s="21"/>
      <c r="CQ226" s="21"/>
      <c r="CR226" s="21"/>
      <c r="CS226" s="21"/>
    </row>
    <row r="227" spans="6:97" ht="15.75">
      <c r="K227" s="25"/>
      <c r="M227" s="26"/>
      <c r="N227" s="25"/>
      <c r="P227" s="26"/>
      <c r="Q227" s="25"/>
      <c r="S227" s="26"/>
      <c r="T227" s="25"/>
      <c r="V227" s="26"/>
      <c r="W227" s="25"/>
      <c r="Y227" s="26"/>
      <c r="Z227" s="25"/>
      <c r="AB227" s="26"/>
      <c r="BN227" s="24"/>
      <c r="BO227" s="21"/>
      <c r="BP227" s="21"/>
      <c r="BQ227" s="21"/>
      <c r="BS227" s="22"/>
      <c r="BT227" s="21"/>
      <c r="BU227" s="21"/>
      <c r="CB227" s="21"/>
      <c r="CC227" s="21"/>
      <c r="CD227" s="21"/>
      <c r="CE227" s="21"/>
      <c r="CF227" s="21"/>
      <c r="CI227" s="23"/>
      <c r="CJ227" s="21"/>
      <c r="CK227" s="21"/>
      <c r="CL227" s="21"/>
      <c r="CM227" s="21"/>
      <c r="CQ227" s="21"/>
      <c r="CR227" s="21"/>
      <c r="CS227" s="21"/>
    </row>
    <row r="228" spans="6:97" ht="15.75">
      <c r="K228" s="25"/>
      <c r="M228" s="26"/>
      <c r="N228" s="25"/>
      <c r="P228" s="26"/>
      <c r="Q228" s="25"/>
      <c r="S228" s="26"/>
      <c r="T228" s="25"/>
      <c r="V228" s="26"/>
      <c r="W228" s="25"/>
      <c r="Y228" s="26"/>
      <c r="Z228" s="25"/>
      <c r="AB228" s="26"/>
      <c r="BN228" s="24"/>
      <c r="BO228" s="21"/>
      <c r="BP228" s="21"/>
      <c r="BQ228" s="21"/>
      <c r="BS228" s="22"/>
      <c r="BT228" s="21"/>
      <c r="BU228" s="21"/>
      <c r="CB228" s="21"/>
      <c r="CC228" s="21"/>
      <c r="CD228" s="21"/>
      <c r="CE228" s="21"/>
      <c r="CF228" s="21"/>
      <c r="CI228" s="23"/>
      <c r="CJ228" s="21"/>
      <c r="CK228" s="21"/>
      <c r="CL228" s="21"/>
      <c r="CM228" s="21"/>
      <c r="CQ228" s="21"/>
      <c r="CR228" s="21"/>
      <c r="CS228" s="21"/>
    </row>
    <row r="229" spans="6:97" ht="15.75">
      <c r="K229" s="25"/>
      <c r="M229" s="26"/>
      <c r="N229" s="25"/>
      <c r="P229" s="26"/>
      <c r="Q229" s="25"/>
      <c r="S229" s="26"/>
      <c r="T229" s="25"/>
      <c r="V229" s="26"/>
      <c r="W229" s="25"/>
      <c r="Y229" s="26"/>
      <c r="Z229" s="25"/>
      <c r="AB229" s="26"/>
      <c r="BN229" s="24"/>
      <c r="BO229" s="21"/>
      <c r="BP229" s="21"/>
      <c r="BQ229" s="21"/>
      <c r="BS229" s="22"/>
      <c r="BT229" s="21"/>
      <c r="BU229" s="21"/>
      <c r="CB229" s="21"/>
      <c r="CC229" s="21"/>
      <c r="CD229" s="21"/>
      <c r="CE229" s="21"/>
      <c r="CF229" s="21"/>
      <c r="CI229" s="23"/>
      <c r="CJ229" s="21"/>
      <c r="CK229" s="21"/>
      <c r="CL229" s="21"/>
      <c r="CM229" s="21"/>
      <c r="CQ229" s="21"/>
      <c r="CR229" s="21"/>
      <c r="CS229" s="21"/>
    </row>
    <row r="230" spans="6:97" ht="15.75">
      <c r="K230" s="25"/>
      <c r="M230" s="26"/>
      <c r="N230" s="25"/>
      <c r="P230" s="26"/>
      <c r="Q230" s="25"/>
      <c r="S230" s="26"/>
      <c r="T230" s="25"/>
      <c r="V230" s="26"/>
      <c r="W230" s="25"/>
      <c r="Y230" s="26"/>
      <c r="Z230" s="25"/>
      <c r="AB230" s="26"/>
      <c r="BN230" s="24"/>
      <c r="BO230" s="21"/>
      <c r="BP230" s="21"/>
      <c r="BQ230" s="21"/>
      <c r="BS230" s="22"/>
      <c r="BT230" s="21"/>
      <c r="BU230" s="21"/>
      <c r="CB230" s="21"/>
      <c r="CC230" s="21"/>
      <c r="CD230" s="21"/>
      <c r="CE230" s="21"/>
      <c r="CF230" s="21"/>
      <c r="CI230" s="23"/>
      <c r="CJ230" s="21"/>
      <c r="CK230" s="21"/>
      <c r="CL230" s="21"/>
      <c r="CM230" s="21"/>
      <c r="CQ230" s="21"/>
      <c r="CR230" s="21"/>
      <c r="CS230" s="21"/>
    </row>
    <row r="231" spans="6:97" ht="15.75">
      <c r="K231" s="25"/>
      <c r="M231" s="26"/>
      <c r="N231" s="25"/>
      <c r="P231" s="26"/>
      <c r="Q231" s="25"/>
      <c r="S231" s="26"/>
      <c r="T231" s="25"/>
      <c r="V231" s="26"/>
      <c r="W231" s="25"/>
      <c r="Y231" s="26"/>
      <c r="Z231" s="25"/>
      <c r="AB231" s="26"/>
      <c r="BN231" s="24"/>
      <c r="BO231" s="21"/>
      <c r="BP231" s="21"/>
      <c r="BQ231" s="21"/>
      <c r="BS231" s="22"/>
      <c r="BT231" s="21"/>
      <c r="BU231" s="21"/>
      <c r="CB231" s="21"/>
      <c r="CC231" s="21"/>
      <c r="CD231" s="21"/>
      <c r="CE231" s="21"/>
      <c r="CF231" s="21"/>
      <c r="CI231" s="23"/>
      <c r="CJ231" s="21"/>
      <c r="CK231" s="21"/>
      <c r="CL231" s="21"/>
      <c r="CM231" s="21"/>
      <c r="CQ231" s="21"/>
      <c r="CR231" s="21"/>
      <c r="CS231" s="21"/>
    </row>
    <row r="232" spans="6:97" ht="15.75">
      <c r="K232" s="25"/>
      <c r="M232" s="26"/>
      <c r="N232" s="25"/>
      <c r="P232" s="26"/>
      <c r="Q232" s="25"/>
      <c r="S232" s="26"/>
      <c r="T232" s="25"/>
      <c r="V232" s="26"/>
      <c r="W232" s="25"/>
      <c r="Y232" s="26"/>
      <c r="Z232" s="25"/>
      <c r="AB232" s="26"/>
      <c r="BN232" s="24"/>
      <c r="BO232" s="21"/>
      <c r="BP232" s="21"/>
      <c r="BQ232" s="21"/>
      <c r="BS232" s="22"/>
      <c r="BT232" s="21"/>
      <c r="BU232" s="21"/>
      <c r="CB232" s="21"/>
      <c r="CC232" s="21"/>
      <c r="CD232" s="21"/>
      <c r="CE232" s="21"/>
      <c r="CF232" s="21"/>
      <c r="CI232" s="23"/>
      <c r="CJ232" s="21"/>
      <c r="CK232" s="21"/>
      <c r="CL232" s="21"/>
      <c r="CM232" s="21"/>
      <c r="CQ232" s="21"/>
      <c r="CR232" s="21"/>
      <c r="CS232" s="21"/>
    </row>
    <row r="233" spans="6:97" ht="15.75">
      <c r="K233" s="25"/>
      <c r="M233" s="26"/>
      <c r="N233" s="25"/>
      <c r="P233" s="26"/>
      <c r="Q233" s="25"/>
      <c r="S233" s="26"/>
      <c r="T233" s="25"/>
      <c r="V233" s="26"/>
      <c r="W233" s="25"/>
      <c r="Y233" s="26"/>
      <c r="Z233" s="25"/>
      <c r="AB233" s="26"/>
      <c r="BN233" s="24"/>
      <c r="BO233" s="21"/>
      <c r="BP233" s="21"/>
      <c r="BQ233" s="21"/>
      <c r="BS233" s="22"/>
      <c r="BT233" s="21"/>
      <c r="BU233" s="21"/>
      <c r="CB233" s="21"/>
      <c r="CC233" s="21"/>
      <c r="CD233" s="21"/>
      <c r="CE233" s="21"/>
      <c r="CF233" s="21"/>
      <c r="CI233" s="23"/>
      <c r="CJ233" s="21"/>
      <c r="CK233" s="21"/>
      <c r="CL233" s="21"/>
      <c r="CM233" s="21"/>
      <c r="CQ233" s="21"/>
      <c r="CR233" s="21"/>
      <c r="CS233" s="21"/>
    </row>
    <row r="234" spans="6:97" ht="15.75">
      <c r="K234" s="25"/>
      <c r="M234" s="26"/>
      <c r="N234" s="25"/>
      <c r="P234" s="26"/>
      <c r="Q234" s="25"/>
      <c r="S234" s="26"/>
      <c r="T234" s="25"/>
      <c r="V234" s="26"/>
      <c r="W234" s="25"/>
      <c r="Y234" s="26"/>
      <c r="Z234" s="25"/>
      <c r="AB234" s="26"/>
      <c r="BN234" s="24"/>
      <c r="BO234" s="21"/>
      <c r="BP234" s="21"/>
      <c r="BQ234" s="21"/>
      <c r="BS234" s="22"/>
      <c r="BT234" s="21"/>
      <c r="BU234" s="21"/>
      <c r="CB234" s="21"/>
      <c r="CC234" s="21"/>
      <c r="CD234" s="21"/>
      <c r="CE234" s="21"/>
      <c r="CF234" s="21"/>
      <c r="CI234" s="23"/>
      <c r="CJ234" s="21"/>
      <c r="CK234" s="21"/>
      <c r="CL234" s="21"/>
      <c r="CM234" s="21"/>
      <c r="CQ234" s="21"/>
      <c r="CR234" s="21"/>
      <c r="CS234" s="21"/>
    </row>
    <row r="235" spans="6:97" ht="15.75">
      <c r="K235" s="25"/>
      <c r="M235" s="26"/>
      <c r="N235" s="25"/>
      <c r="P235" s="26"/>
      <c r="Q235" s="25"/>
      <c r="S235" s="26"/>
      <c r="T235" s="25"/>
      <c r="V235" s="26"/>
      <c r="W235" s="25"/>
      <c r="Y235" s="26"/>
      <c r="Z235" s="25"/>
      <c r="AB235" s="26"/>
      <c r="BN235" s="24"/>
      <c r="BO235" s="21"/>
      <c r="BP235" s="21"/>
      <c r="BQ235" s="21"/>
      <c r="BS235" s="22"/>
      <c r="BT235" s="21"/>
      <c r="BU235" s="21"/>
      <c r="CB235" s="21"/>
      <c r="CC235" s="21"/>
      <c r="CD235" s="21"/>
      <c r="CE235" s="21"/>
      <c r="CF235" s="21"/>
      <c r="CI235" s="23"/>
      <c r="CJ235" s="21"/>
      <c r="CK235" s="21"/>
      <c r="CL235" s="21"/>
      <c r="CM235" s="21"/>
      <c r="CQ235" s="21"/>
      <c r="CR235" s="21"/>
      <c r="CS235" s="21"/>
    </row>
    <row r="236" spans="6:97" ht="15.75">
      <c r="K236" s="25"/>
      <c r="M236" s="26"/>
      <c r="N236" s="25"/>
      <c r="P236" s="26"/>
      <c r="Q236" s="25"/>
      <c r="S236" s="26"/>
      <c r="T236" s="25"/>
      <c r="V236" s="26"/>
      <c r="W236" s="25"/>
      <c r="Y236" s="26"/>
      <c r="Z236" s="25"/>
      <c r="AB236" s="26"/>
      <c r="BN236" s="24"/>
      <c r="BO236" s="21"/>
      <c r="BP236" s="21"/>
      <c r="BQ236" s="21"/>
      <c r="BS236" s="22"/>
      <c r="BT236" s="21"/>
      <c r="BU236" s="21"/>
      <c r="CB236" s="21"/>
      <c r="CC236" s="21"/>
      <c r="CD236" s="21"/>
      <c r="CE236" s="21"/>
      <c r="CF236" s="21"/>
      <c r="CI236" s="23"/>
      <c r="CJ236" s="21"/>
      <c r="CK236" s="21"/>
      <c r="CL236" s="21"/>
      <c r="CM236" s="21"/>
      <c r="CQ236" s="21"/>
      <c r="CR236" s="21"/>
      <c r="CS236" s="21"/>
    </row>
    <row r="237" spans="6:97" ht="15.75">
      <c r="F237" s="32"/>
      <c r="K237" s="25"/>
      <c r="M237" s="26"/>
      <c r="N237" s="25"/>
      <c r="P237" s="26"/>
      <c r="Q237" s="25"/>
      <c r="S237" s="26"/>
      <c r="T237" s="25"/>
      <c r="V237" s="26"/>
      <c r="W237" s="25"/>
      <c r="Y237" s="26"/>
      <c r="Z237" s="25"/>
      <c r="AB237" s="26"/>
      <c r="BN237" s="24"/>
      <c r="BO237" s="21"/>
      <c r="BP237" s="21"/>
      <c r="BQ237" s="21"/>
      <c r="BS237" s="22"/>
      <c r="BT237" s="21"/>
      <c r="BU237" s="21"/>
      <c r="CB237" s="21"/>
      <c r="CC237" s="21"/>
      <c r="CD237" s="21"/>
      <c r="CE237" s="21"/>
      <c r="CF237" s="21"/>
      <c r="CI237" s="23"/>
      <c r="CJ237" s="21"/>
      <c r="CK237" s="21"/>
      <c r="CL237" s="21"/>
      <c r="CM237" s="21"/>
      <c r="CQ237" s="21"/>
      <c r="CR237" s="21"/>
      <c r="CS237" s="21"/>
    </row>
    <row r="238" spans="6:97" ht="15.75">
      <c r="K238" s="25"/>
      <c r="M238" s="26"/>
      <c r="N238" s="25"/>
      <c r="P238" s="26"/>
      <c r="Q238" s="25"/>
      <c r="S238" s="26"/>
      <c r="T238" s="25"/>
      <c r="V238" s="26"/>
      <c r="W238" s="25"/>
      <c r="Y238" s="26"/>
      <c r="Z238" s="25"/>
      <c r="AB238" s="26"/>
      <c r="BN238" s="24"/>
      <c r="BO238" s="21"/>
      <c r="BP238" s="21"/>
      <c r="BQ238" s="21"/>
      <c r="BS238" s="22"/>
      <c r="BT238" s="21"/>
      <c r="BU238" s="21"/>
      <c r="CB238" s="21"/>
      <c r="CC238" s="21"/>
      <c r="CD238" s="21"/>
      <c r="CE238" s="21"/>
      <c r="CF238" s="21"/>
      <c r="CI238" s="23"/>
      <c r="CJ238" s="21"/>
      <c r="CK238" s="21"/>
      <c r="CL238" s="21"/>
      <c r="CM238" s="21"/>
      <c r="CQ238" s="21"/>
      <c r="CR238" s="21"/>
      <c r="CS238" s="21"/>
    </row>
    <row r="239" spans="6:97" ht="15.75">
      <c r="K239" s="25"/>
      <c r="M239" s="26"/>
      <c r="N239" s="25"/>
      <c r="P239" s="26"/>
      <c r="Q239" s="25"/>
      <c r="S239" s="26"/>
      <c r="T239" s="25"/>
      <c r="V239" s="26"/>
      <c r="W239" s="25"/>
      <c r="Y239" s="26"/>
      <c r="Z239" s="25"/>
      <c r="AB239" s="26"/>
      <c r="BN239" s="24"/>
      <c r="BO239" s="21"/>
      <c r="BP239" s="21"/>
      <c r="BQ239" s="21"/>
      <c r="BS239" s="22"/>
      <c r="BT239" s="21"/>
      <c r="BU239" s="21"/>
      <c r="CB239" s="21"/>
      <c r="CC239" s="21"/>
      <c r="CD239" s="21"/>
      <c r="CE239" s="21"/>
      <c r="CF239" s="21"/>
      <c r="CI239" s="23"/>
      <c r="CJ239" s="21"/>
      <c r="CK239" s="21"/>
      <c r="CL239" s="21"/>
      <c r="CM239" s="21"/>
      <c r="CQ239" s="21"/>
      <c r="CR239" s="21"/>
      <c r="CS239" s="21"/>
    </row>
    <row r="240" spans="6:97" ht="15.75">
      <c r="K240" s="25"/>
      <c r="M240" s="26"/>
      <c r="N240" s="25"/>
      <c r="P240" s="26"/>
      <c r="Q240" s="25"/>
      <c r="S240" s="26"/>
      <c r="T240" s="25"/>
      <c r="V240" s="26"/>
      <c r="W240" s="25"/>
      <c r="Y240" s="26"/>
      <c r="Z240" s="25"/>
      <c r="AB240" s="26"/>
      <c r="BN240" s="24"/>
      <c r="BO240" s="21"/>
      <c r="BP240" s="21"/>
      <c r="BQ240" s="21"/>
      <c r="BS240" s="22"/>
      <c r="BT240" s="21"/>
      <c r="BU240" s="21"/>
      <c r="CB240" s="21"/>
      <c r="CC240" s="21"/>
      <c r="CD240" s="21"/>
      <c r="CE240" s="21"/>
      <c r="CF240" s="21"/>
      <c r="CI240" s="23"/>
      <c r="CJ240" s="21"/>
      <c r="CK240" s="21"/>
      <c r="CL240" s="21"/>
      <c r="CM240" s="21"/>
      <c r="CQ240" s="21"/>
      <c r="CR240" s="21"/>
      <c r="CS240" s="21"/>
    </row>
    <row r="241" spans="3:97" ht="15.75">
      <c r="K241" s="25"/>
      <c r="M241" s="26"/>
      <c r="N241" s="25"/>
      <c r="P241" s="26"/>
      <c r="Q241" s="25"/>
      <c r="S241" s="26"/>
      <c r="T241" s="25"/>
      <c r="V241" s="26"/>
      <c r="W241" s="25"/>
      <c r="Y241" s="26"/>
      <c r="Z241" s="25"/>
      <c r="AB241" s="26"/>
      <c r="BN241" s="24"/>
      <c r="BO241" s="21"/>
      <c r="BP241" s="21"/>
      <c r="BQ241" s="21"/>
      <c r="BS241" s="22"/>
      <c r="BT241" s="21"/>
      <c r="BU241" s="21"/>
      <c r="CB241" s="21"/>
      <c r="CC241" s="21"/>
      <c r="CD241" s="21"/>
      <c r="CE241" s="21"/>
      <c r="CF241" s="21"/>
      <c r="CI241" s="23"/>
      <c r="CJ241" s="21"/>
      <c r="CK241" s="21"/>
      <c r="CL241" s="21"/>
      <c r="CM241" s="21"/>
      <c r="CQ241" s="21"/>
      <c r="CR241" s="21"/>
      <c r="CS241" s="21"/>
    </row>
    <row r="242" spans="3:97" ht="15.75">
      <c r="C242" s="18"/>
      <c r="D242" s="18"/>
      <c r="E242" s="18"/>
      <c r="K242" s="25"/>
      <c r="M242" s="26"/>
      <c r="N242" s="25"/>
      <c r="P242" s="26"/>
      <c r="Q242" s="25"/>
      <c r="S242" s="26"/>
      <c r="T242" s="25"/>
      <c r="V242" s="26"/>
      <c r="W242" s="25"/>
      <c r="Y242" s="26"/>
      <c r="Z242" s="25"/>
      <c r="AB242" s="26"/>
      <c r="BN242" s="20"/>
      <c r="BO242" s="21"/>
      <c r="BP242" s="21"/>
      <c r="BQ242" s="21"/>
      <c r="BS242" s="22"/>
      <c r="BT242" s="21"/>
      <c r="BU242" s="21"/>
      <c r="CB242" s="21"/>
      <c r="CC242" s="21"/>
      <c r="CD242" s="21"/>
      <c r="CE242" s="21"/>
      <c r="CF242" s="21"/>
      <c r="CI242" s="23"/>
      <c r="CJ242" s="21"/>
      <c r="CK242" s="21"/>
      <c r="CL242" s="21"/>
      <c r="CM242" s="21"/>
      <c r="CQ242" s="21"/>
      <c r="CR242" s="21"/>
      <c r="CS242" s="21"/>
    </row>
    <row r="243" spans="3:97" ht="15.75">
      <c r="C243" s="18"/>
      <c r="D243" s="18"/>
      <c r="E243" s="18"/>
      <c r="K243" s="25"/>
      <c r="M243" s="26"/>
      <c r="N243" s="25"/>
      <c r="P243" s="26"/>
      <c r="Q243" s="25"/>
      <c r="S243" s="26"/>
      <c r="T243" s="25"/>
      <c r="V243" s="26"/>
      <c r="W243" s="25"/>
      <c r="Y243" s="26"/>
      <c r="Z243" s="25"/>
      <c r="AB243" s="26"/>
      <c r="BN243" s="20"/>
      <c r="BO243" s="21"/>
      <c r="BP243" s="21"/>
      <c r="BQ243" s="21"/>
      <c r="BS243" s="22"/>
      <c r="BT243" s="21"/>
      <c r="BU243" s="21"/>
      <c r="CB243" s="21"/>
      <c r="CC243" s="21"/>
      <c r="CD243" s="21"/>
      <c r="CE243" s="21"/>
      <c r="CF243" s="21"/>
      <c r="CI243" s="23"/>
      <c r="CJ243" s="21"/>
      <c r="CK243" s="21"/>
      <c r="CL243" s="21"/>
      <c r="CM243" s="21"/>
      <c r="CQ243" s="21"/>
      <c r="CR243" s="21"/>
      <c r="CS243" s="21"/>
    </row>
    <row r="244" spans="3:97" ht="15.75">
      <c r="K244" s="25"/>
      <c r="M244" s="26"/>
      <c r="N244" s="25"/>
      <c r="P244" s="26"/>
      <c r="Q244" s="25"/>
      <c r="S244" s="26"/>
      <c r="T244" s="25"/>
      <c r="V244" s="26"/>
      <c r="W244" s="25"/>
      <c r="Y244" s="26"/>
      <c r="Z244" s="25"/>
      <c r="AB244" s="26"/>
      <c r="BN244" s="24"/>
      <c r="BO244" s="21"/>
      <c r="BP244" s="21"/>
      <c r="BQ244" s="21"/>
      <c r="BS244" s="22"/>
      <c r="BT244" s="21"/>
      <c r="BU244" s="21"/>
      <c r="CB244" s="21"/>
      <c r="CC244" s="21"/>
      <c r="CD244" s="21"/>
      <c r="CE244" s="21"/>
      <c r="CF244" s="21"/>
      <c r="CI244" s="23"/>
      <c r="CJ244" s="21"/>
      <c r="CK244" s="21"/>
      <c r="CL244" s="21"/>
      <c r="CM244" s="21"/>
      <c r="CQ244" s="21"/>
      <c r="CR244" s="21"/>
      <c r="CS244" s="21"/>
    </row>
    <row r="245" spans="3:97" ht="15.75">
      <c r="K245" s="25"/>
      <c r="M245" s="26"/>
      <c r="N245" s="25"/>
      <c r="P245" s="26"/>
      <c r="Q245" s="25"/>
      <c r="S245" s="26"/>
      <c r="T245" s="25"/>
      <c r="V245" s="26"/>
      <c r="W245" s="25"/>
      <c r="Y245" s="26"/>
      <c r="Z245" s="25"/>
      <c r="AB245" s="26"/>
      <c r="BN245" s="24"/>
      <c r="BO245" s="21"/>
      <c r="BP245" s="21"/>
      <c r="BQ245" s="21"/>
      <c r="BS245" s="22"/>
      <c r="BT245" s="21"/>
      <c r="BU245" s="21"/>
      <c r="CB245" s="21"/>
      <c r="CC245" s="21"/>
      <c r="CD245" s="21"/>
      <c r="CE245" s="21"/>
      <c r="CF245" s="21"/>
      <c r="CI245" s="23"/>
      <c r="CJ245" s="21"/>
      <c r="CK245" s="21"/>
      <c r="CL245" s="21"/>
      <c r="CM245" s="21"/>
      <c r="CQ245" s="21"/>
      <c r="CR245" s="21"/>
      <c r="CS245" s="21"/>
    </row>
    <row r="246" spans="3:97" ht="15.75">
      <c r="K246" s="25"/>
      <c r="M246" s="26"/>
      <c r="N246" s="25"/>
      <c r="P246" s="26"/>
      <c r="Q246" s="25"/>
      <c r="S246" s="26"/>
      <c r="T246" s="25"/>
      <c r="V246" s="26"/>
      <c r="W246" s="25"/>
      <c r="Y246" s="26"/>
      <c r="Z246" s="25"/>
      <c r="AB246" s="26"/>
      <c r="BN246" s="24"/>
      <c r="BO246" s="21"/>
      <c r="BP246" s="21"/>
      <c r="BQ246" s="21"/>
      <c r="BS246" s="22"/>
      <c r="BT246" s="21"/>
      <c r="BU246" s="21"/>
      <c r="CB246" s="21"/>
      <c r="CC246" s="21"/>
      <c r="CD246" s="21"/>
      <c r="CE246" s="21"/>
      <c r="CF246" s="21"/>
      <c r="CI246" s="23"/>
      <c r="CJ246" s="21"/>
      <c r="CK246" s="21"/>
      <c r="CL246" s="21"/>
      <c r="CM246" s="21"/>
      <c r="CQ246" s="21"/>
      <c r="CR246" s="21"/>
      <c r="CS246" s="21"/>
    </row>
    <row r="247" spans="3:97" ht="15.75">
      <c r="K247" s="25"/>
      <c r="M247" s="26"/>
      <c r="N247" s="25"/>
      <c r="P247" s="26"/>
      <c r="Q247" s="25"/>
      <c r="S247" s="26"/>
      <c r="T247" s="25"/>
      <c r="V247" s="26"/>
      <c r="W247" s="25"/>
      <c r="Y247" s="26"/>
      <c r="Z247" s="25"/>
      <c r="AB247" s="26"/>
      <c r="BN247" s="24"/>
      <c r="BO247" s="21"/>
      <c r="BP247" s="21"/>
      <c r="BQ247" s="21"/>
      <c r="BS247" s="22"/>
      <c r="BT247" s="21"/>
      <c r="BU247" s="21"/>
      <c r="CB247" s="21"/>
      <c r="CC247" s="21"/>
      <c r="CD247" s="21"/>
      <c r="CE247" s="21"/>
      <c r="CF247" s="21"/>
      <c r="CI247" s="23"/>
      <c r="CJ247" s="21"/>
      <c r="CK247" s="21"/>
      <c r="CL247" s="21"/>
      <c r="CM247" s="21"/>
      <c r="CQ247" s="21"/>
      <c r="CR247" s="21"/>
      <c r="CS247" s="21"/>
    </row>
    <row r="248" spans="3:97" ht="15.75">
      <c r="K248" s="25"/>
      <c r="M248" s="26"/>
      <c r="N248" s="25"/>
      <c r="P248" s="26"/>
      <c r="Q248" s="25"/>
      <c r="S248" s="26"/>
      <c r="T248" s="25"/>
      <c r="V248" s="26"/>
      <c r="W248" s="25"/>
      <c r="Y248" s="26"/>
      <c r="Z248" s="25"/>
      <c r="AB248" s="26"/>
      <c r="BN248" s="24"/>
      <c r="BO248" s="21"/>
      <c r="BP248" s="21"/>
      <c r="BQ248" s="21"/>
      <c r="BS248" s="22"/>
      <c r="BT248" s="21"/>
      <c r="BU248" s="21"/>
      <c r="CB248" s="21"/>
      <c r="CC248" s="21"/>
      <c r="CD248" s="21"/>
      <c r="CE248" s="21"/>
      <c r="CF248" s="21"/>
      <c r="CI248" s="23"/>
      <c r="CJ248" s="21"/>
      <c r="CK248" s="21"/>
      <c r="CL248" s="21"/>
      <c r="CM248" s="21"/>
      <c r="CQ248" s="21"/>
      <c r="CR248" s="21"/>
      <c r="CS248" s="21"/>
    </row>
    <row r="249" spans="3:97" ht="15.75">
      <c r="K249" s="25"/>
      <c r="M249" s="26"/>
      <c r="N249" s="25"/>
      <c r="P249" s="26"/>
      <c r="Q249" s="25"/>
      <c r="S249" s="26"/>
      <c r="T249" s="25"/>
      <c r="V249" s="26"/>
      <c r="W249" s="25"/>
      <c r="Y249" s="26"/>
      <c r="Z249" s="25"/>
      <c r="AB249" s="26"/>
      <c r="BN249" s="24"/>
      <c r="BO249" s="21"/>
      <c r="BP249" s="21"/>
      <c r="BQ249" s="21"/>
      <c r="BS249" s="22"/>
      <c r="BT249" s="21"/>
      <c r="BU249" s="21"/>
      <c r="CB249" s="21"/>
      <c r="CC249" s="21"/>
      <c r="CD249" s="21"/>
      <c r="CE249" s="21"/>
      <c r="CF249" s="21"/>
      <c r="CI249" s="23"/>
      <c r="CJ249" s="21"/>
      <c r="CK249" s="21"/>
      <c r="CL249" s="21"/>
      <c r="CM249" s="21"/>
      <c r="CQ249" s="21"/>
      <c r="CR249" s="21"/>
      <c r="CS249" s="21"/>
    </row>
    <row r="250" spans="3:97" ht="15.75">
      <c r="K250" s="25"/>
      <c r="M250" s="26"/>
      <c r="N250" s="25"/>
      <c r="P250" s="26"/>
      <c r="Q250" s="25"/>
      <c r="S250" s="26"/>
      <c r="T250" s="25"/>
      <c r="V250" s="26"/>
      <c r="W250" s="25"/>
      <c r="Y250" s="26"/>
      <c r="Z250" s="25"/>
      <c r="AB250" s="26"/>
      <c r="BN250" s="24"/>
      <c r="BO250" s="21"/>
      <c r="BP250" s="21"/>
      <c r="BQ250" s="21"/>
      <c r="BS250" s="22"/>
      <c r="BT250" s="21"/>
      <c r="BU250" s="21"/>
      <c r="CB250" s="21"/>
      <c r="CC250" s="21"/>
      <c r="CD250" s="21"/>
      <c r="CE250" s="21"/>
      <c r="CF250" s="21"/>
      <c r="CI250" s="23"/>
      <c r="CJ250" s="21"/>
      <c r="CK250" s="21"/>
      <c r="CL250" s="21"/>
      <c r="CM250" s="21"/>
      <c r="CQ250" s="21"/>
      <c r="CR250" s="21"/>
      <c r="CS250" s="21"/>
    </row>
    <row r="251" spans="3:97" ht="15.75">
      <c r="K251" s="25"/>
      <c r="M251" s="26"/>
      <c r="N251" s="25"/>
      <c r="P251" s="26"/>
      <c r="Q251" s="25"/>
      <c r="S251" s="26"/>
      <c r="T251" s="25"/>
      <c r="V251" s="26"/>
      <c r="W251" s="25"/>
      <c r="Y251" s="26"/>
      <c r="Z251" s="25"/>
      <c r="AB251" s="26"/>
      <c r="BN251" s="24"/>
      <c r="BO251" s="21"/>
      <c r="BP251" s="21"/>
      <c r="BQ251" s="21"/>
      <c r="BS251" s="22"/>
      <c r="BT251" s="21"/>
      <c r="BU251" s="21"/>
      <c r="CB251" s="21"/>
      <c r="CC251" s="21"/>
      <c r="CD251" s="21"/>
      <c r="CE251" s="21"/>
      <c r="CF251" s="21"/>
      <c r="CI251" s="23"/>
      <c r="CJ251" s="21"/>
      <c r="CK251" s="21"/>
      <c r="CL251" s="21"/>
      <c r="CM251" s="21"/>
      <c r="CQ251" s="21"/>
      <c r="CR251" s="21"/>
      <c r="CS251" s="21"/>
    </row>
    <row r="252" spans="3:97" ht="15.75">
      <c r="K252" s="25"/>
      <c r="M252" s="26"/>
      <c r="N252" s="25"/>
      <c r="P252" s="26"/>
      <c r="Q252" s="25"/>
      <c r="S252" s="26"/>
      <c r="T252" s="25"/>
      <c r="V252" s="26"/>
      <c r="W252" s="25"/>
      <c r="Y252" s="26"/>
      <c r="Z252" s="25"/>
      <c r="AB252" s="26"/>
      <c r="BN252" s="24"/>
      <c r="BO252" s="21"/>
      <c r="BP252" s="21"/>
      <c r="BQ252" s="21"/>
      <c r="BS252" s="22"/>
      <c r="BT252" s="21"/>
      <c r="BU252" s="21"/>
      <c r="CB252" s="21"/>
      <c r="CC252" s="21"/>
      <c r="CD252" s="21"/>
      <c r="CE252" s="21"/>
      <c r="CF252" s="21"/>
      <c r="CI252" s="23"/>
      <c r="CJ252" s="21"/>
      <c r="CK252" s="21"/>
      <c r="CL252" s="21"/>
      <c r="CM252" s="21"/>
      <c r="CQ252" s="21"/>
      <c r="CR252" s="21"/>
      <c r="CS252" s="21"/>
    </row>
    <row r="253" spans="3:97" ht="15.75">
      <c r="K253" s="25"/>
      <c r="M253" s="26"/>
      <c r="N253" s="25"/>
      <c r="P253" s="26"/>
      <c r="Q253" s="25"/>
      <c r="S253" s="26"/>
      <c r="T253" s="25"/>
      <c r="V253" s="26"/>
      <c r="W253" s="25"/>
      <c r="Y253" s="26"/>
      <c r="Z253" s="25"/>
      <c r="AB253" s="26"/>
      <c r="BN253" s="24"/>
      <c r="BO253" s="21"/>
      <c r="BP253" s="21"/>
      <c r="BQ253" s="21"/>
      <c r="BS253" s="22"/>
      <c r="BT253" s="21"/>
      <c r="BU253" s="21"/>
      <c r="CB253" s="21"/>
      <c r="CC253" s="21"/>
      <c r="CD253" s="21"/>
      <c r="CE253" s="21"/>
      <c r="CF253" s="21"/>
      <c r="CI253" s="23"/>
      <c r="CJ253" s="21"/>
      <c r="CK253" s="21"/>
      <c r="CL253" s="21"/>
      <c r="CM253" s="21"/>
      <c r="CQ253" s="21"/>
      <c r="CR253" s="21"/>
      <c r="CS253" s="21"/>
    </row>
    <row r="254" spans="3:97" ht="15.75">
      <c r="K254" s="25"/>
      <c r="M254" s="26"/>
      <c r="N254" s="25"/>
      <c r="P254" s="26"/>
      <c r="Q254" s="25"/>
      <c r="S254" s="26"/>
      <c r="T254" s="25"/>
      <c r="V254" s="26"/>
      <c r="W254" s="25"/>
      <c r="Y254" s="26"/>
      <c r="Z254" s="25"/>
      <c r="AB254" s="26"/>
      <c r="BN254" s="24"/>
      <c r="BO254" s="21"/>
      <c r="BP254" s="21"/>
      <c r="BQ254" s="21"/>
      <c r="BS254" s="22"/>
      <c r="BT254" s="21"/>
      <c r="BU254" s="21"/>
      <c r="CB254" s="21"/>
      <c r="CC254" s="21"/>
      <c r="CD254" s="21"/>
      <c r="CE254" s="21"/>
      <c r="CF254" s="21"/>
      <c r="CI254" s="23"/>
      <c r="CJ254" s="21"/>
      <c r="CK254" s="21"/>
      <c r="CL254" s="21"/>
      <c r="CM254" s="21"/>
      <c r="CQ254" s="21"/>
      <c r="CR254" s="21"/>
      <c r="CS254" s="21"/>
    </row>
    <row r="255" spans="3:97" ht="15.75">
      <c r="K255" s="25"/>
      <c r="M255" s="26"/>
      <c r="N255" s="25"/>
      <c r="P255" s="26"/>
      <c r="Q255" s="25"/>
      <c r="S255" s="26"/>
      <c r="T255" s="25"/>
      <c r="V255" s="26"/>
      <c r="W255" s="25"/>
      <c r="Y255" s="26"/>
      <c r="Z255" s="25"/>
      <c r="AB255" s="26"/>
      <c r="BN255" s="24"/>
      <c r="BO255" s="21"/>
      <c r="BP255" s="21"/>
      <c r="BQ255" s="21"/>
      <c r="BS255" s="22"/>
      <c r="BT255" s="21"/>
      <c r="BU255" s="21"/>
      <c r="CB255" s="21"/>
      <c r="CC255" s="21"/>
      <c r="CD255" s="21"/>
      <c r="CE255" s="21"/>
      <c r="CF255" s="21"/>
      <c r="CI255" s="23"/>
      <c r="CJ255" s="21"/>
      <c r="CK255" s="21"/>
      <c r="CL255" s="21"/>
      <c r="CM255" s="21"/>
      <c r="CQ255" s="21"/>
      <c r="CR255" s="21"/>
      <c r="CS255" s="21"/>
    </row>
    <row r="256" spans="3:97" ht="15.75">
      <c r="K256" s="25"/>
      <c r="M256" s="26"/>
      <c r="N256" s="25"/>
      <c r="P256" s="26"/>
      <c r="Q256" s="25"/>
      <c r="S256" s="26"/>
      <c r="T256" s="25"/>
      <c r="V256" s="26"/>
      <c r="W256" s="25"/>
      <c r="Y256" s="26"/>
      <c r="Z256" s="25"/>
      <c r="AB256" s="26"/>
      <c r="BN256" s="24"/>
      <c r="BO256" s="21"/>
      <c r="BP256" s="21"/>
      <c r="BQ256" s="21"/>
      <c r="BS256" s="22"/>
      <c r="BT256" s="21"/>
      <c r="BU256" s="21"/>
      <c r="CB256" s="21"/>
      <c r="CC256" s="21"/>
      <c r="CD256" s="21"/>
      <c r="CE256" s="21"/>
      <c r="CF256" s="21"/>
      <c r="CI256" s="23"/>
      <c r="CJ256" s="21"/>
      <c r="CK256" s="21"/>
      <c r="CL256" s="21"/>
      <c r="CM256" s="21"/>
      <c r="CQ256" s="21"/>
      <c r="CR256" s="21"/>
      <c r="CS256" s="21"/>
    </row>
    <row r="257" spans="11:97" ht="15.75">
      <c r="K257" s="25"/>
      <c r="M257" s="26"/>
      <c r="N257" s="25"/>
      <c r="P257" s="26"/>
      <c r="Q257" s="25"/>
      <c r="S257" s="26"/>
      <c r="T257" s="25"/>
      <c r="V257" s="26"/>
      <c r="W257" s="25"/>
      <c r="Y257" s="26"/>
      <c r="Z257" s="25"/>
      <c r="AB257" s="26"/>
      <c r="BN257" s="24"/>
      <c r="BO257" s="21"/>
      <c r="BP257" s="21"/>
      <c r="BQ257" s="21"/>
      <c r="BS257" s="22"/>
      <c r="BT257" s="21"/>
      <c r="BU257" s="21"/>
      <c r="CB257" s="21"/>
      <c r="CC257" s="21"/>
      <c r="CD257" s="21"/>
      <c r="CE257" s="21"/>
      <c r="CF257" s="21"/>
      <c r="CI257" s="23"/>
      <c r="CJ257" s="21"/>
      <c r="CK257" s="21"/>
      <c r="CL257" s="21"/>
      <c r="CM257" s="21"/>
      <c r="CQ257" s="21"/>
      <c r="CR257" s="21"/>
      <c r="CS257" s="21"/>
    </row>
    <row r="258" spans="11:97" ht="15.75">
      <c r="K258" s="25"/>
      <c r="M258" s="26"/>
      <c r="N258" s="25"/>
      <c r="P258" s="26"/>
      <c r="Q258" s="25"/>
      <c r="S258" s="26"/>
      <c r="T258" s="25"/>
      <c r="V258" s="26"/>
      <c r="W258" s="25"/>
      <c r="Y258" s="26"/>
      <c r="Z258" s="25"/>
      <c r="AB258" s="26"/>
      <c r="BN258" s="24"/>
      <c r="BO258" s="21"/>
      <c r="BP258" s="21"/>
      <c r="BQ258" s="21"/>
      <c r="BS258" s="22"/>
      <c r="BT258" s="21"/>
      <c r="BU258" s="21"/>
      <c r="CB258" s="21"/>
      <c r="CC258" s="21"/>
      <c r="CD258" s="21"/>
      <c r="CE258" s="21"/>
      <c r="CF258" s="21"/>
      <c r="CI258" s="23"/>
      <c r="CJ258" s="21"/>
      <c r="CK258" s="21"/>
      <c r="CL258" s="21"/>
      <c r="CM258" s="21"/>
      <c r="CQ258" s="21"/>
      <c r="CR258" s="21"/>
      <c r="CS258" s="21"/>
    </row>
    <row r="259" spans="11:97" ht="15.75">
      <c r="K259" s="25"/>
      <c r="M259" s="26"/>
      <c r="N259" s="25"/>
      <c r="P259" s="26"/>
      <c r="Q259" s="25"/>
      <c r="S259" s="26"/>
      <c r="T259" s="25"/>
      <c r="V259" s="26"/>
      <c r="W259" s="25"/>
      <c r="Y259" s="26"/>
      <c r="Z259" s="25"/>
      <c r="AB259" s="26"/>
      <c r="BN259" s="24"/>
      <c r="BO259" s="21"/>
      <c r="BP259" s="21"/>
      <c r="BQ259" s="21"/>
      <c r="BS259" s="22"/>
      <c r="BT259" s="21"/>
      <c r="BU259" s="21"/>
      <c r="CB259" s="21"/>
      <c r="CC259" s="21"/>
      <c r="CD259" s="21"/>
      <c r="CE259" s="21"/>
      <c r="CF259" s="21"/>
      <c r="CI259" s="23"/>
      <c r="CJ259" s="21"/>
      <c r="CK259" s="21"/>
      <c r="CL259" s="21"/>
      <c r="CM259" s="21"/>
      <c r="CQ259" s="21"/>
      <c r="CR259" s="21"/>
      <c r="CS259" s="21"/>
    </row>
    <row r="260" spans="11:97" ht="15.75">
      <c r="K260" s="25"/>
      <c r="M260" s="26"/>
      <c r="N260" s="25"/>
      <c r="P260" s="26"/>
      <c r="Q260" s="25"/>
      <c r="S260" s="26"/>
      <c r="T260" s="25"/>
      <c r="V260" s="26"/>
      <c r="W260" s="25"/>
      <c r="Y260" s="26"/>
      <c r="Z260" s="25"/>
      <c r="AB260" s="26"/>
      <c r="BN260" s="24"/>
      <c r="BO260" s="21"/>
      <c r="BP260" s="21"/>
      <c r="BQ260" s="21"/>
      <c r="BS260" s="22"/>
      <c r="BT260" s="21"/>
      <c r="BU260" s="21"/>
      <c r="CB260" s="21"/>
      <c r="CC260" s="21"/>
      <c r="CD260" s="21"/>
      <c r="CE260" s="21"/>
      <c r="CF260" s="21"/>
      <c r="CI260" s="23"/>
      <c r="CJ260" s="21"/>
      <c r="CK260" s="21"/>
      <c r="CL260" s="21"/>
      <c r="CM260" s="21"/>
      <c r="CQ260" s="21"/>
      <c r="CR260" s="21"/>
      <c r="CS260" s="21"/>
    </row>
    <row r="261" spans="11:97" ht="15.75">
      <c r="K261" s="25"/>
      <c r="M261" s="26"/>
      <c r="N261" s="25"/>
      <c r="P261" s="26"/>
      <c r="Q261" s="25"/>
      <c r="S261" s="26"/>
      <c r="T261" s="25"/>
      <c r="V261" s="26"/>
      <c r="W261" s="25"/>
      <c r="Y261" s="26"/>
      <c r="Z261" s="25"/>
      <c r="AB261" s="26"/>
      <c r="BN261" s="24"/>
      <c r="BO261" s="21"/>
      <c r="BP261" s="21"/>
      <c r="BQ261" s="21"/>
      <c r="BS261" s="22"/>
      <c r="BT261" s="21"/>
      <c r="BU261" s="21"/>
      <c r="CB261" s="21"/>
      <c r="CC261" s="21"/>
      <c r="CD261" s="21"/>
      <c r="CE261" s="21"/>
      <c r="CF261" s="21"/>
      <c r="CI261" s="23"/>
      <c r="CJ261" s="21"/>
      <c r="CK261" s="21"/>
      <c r="CL261" s="21"/>
      <c r="CM261" s="21"/>
      <c r="CQ261" s="21"/>
      <c r="CR261" s="21"/>
      <c r="CS261" s="21"/>
    </row>
    <row r="262" spans="11:97" ht="15.75">
      <c r="K262" s="25"/>
      <c r="M262" s="26"/>
      <c r="N262" s="25"/>
      <c r="P262" s="26"/>
      <c r="Q262" s="25"/>
      <c r="S262" s="26"/>
      <c r="T262" s="25"/>
      <c r="V262" s="26"/>
      <c r="W262" s="25"/>
      <c r="Y262" s="26"/>
      <c r="Z262" s="25"/>
      <c r="AB262" s="26"/>
      <c r="BN262" s="24"/>
      <c r="BO262" s="21"/>
      <c r="BP262" s="21"/>
      <c r="BQ262" s="21"/>
      <c r="BS262" s="22"/>
      <c r="BT262" s="21"/>
      <c r="BU262" s="21"/>
      <c r="CB262" s="21"/>
      <c r="CC262" s="21"/>
      <c r="CD262" s="21"/>
      <c r="CE262" s="21"/>
      <c r="CF262" s="21"/>
      <c r="CI262" s="23"/>
      <c r="CJ262" s="21"/>
      <c r="CK262" s="21"/>
      <c r="CL262" s="21"/>
      <c r="CM262" s="21"/>
      <c r="CQ262" s="21"/>
      <c r="CR262" s="21"/>
      <c r="CS262" s="21"/>
    </row>
    <row r="263" spans="11:97" ht="15.75">
      <c r="K263" s="25"/>
      <c r="M263" s="26"/>
      <c r="N263" s="25"/>
      <c r="P263" s="26"/>
      <c r="Q263" s="25"/>
      <c r="S263" s="26"/>
      <c r="T263" s="25"/>
      <c r="V263" s="26"/>
      <c r="W263" s="25"/>
      <c r="Y263" s="26"/>
      <c r="Z263" s="25"/>
      <c r="AB263" s="26"/>
      <c r="BN263" s="24"/>
      <c r="BO263" s="21"/>
      <c r="BP263" s="21"/>
      <c r="BQ263" s="21"/>
      <c r="BS263" s="22"/>
      <c r="BT263" s="21"/>
      <c r="BU263" s="21"/>
      <c r="CB263" s="21"/>
      <c r="CC263" s="21"/>
      <c r="CD263" s="21"/>
      <c r="CE263" s="21"/>
      <c r="CF263" s="21"/>
      <c r="CI263" s="23"/>
      <c r="CJ263" s="21"/>
      <c r="CK263" s="21"/>
      <c r="CL263" s="21"/>
      <c r="CM263" s="21"/>
      <c r="CQ263" s="21"/>
      <c r="CR263" s="21"/>
      <c r="CS263" s="21"/>
    </row>
    <row r="264" spans="11:97" ht="15.75">
      <c r="K264" s="25"/>
      <c r="M264" s="26"/>
      <c r="N264" s="25"/>
      <c r="P264" s="26"/>
      <c r="Q264" s="25"/>
      <c r="S264" s="26"/>
      <c r="T264" s="25"/>
      <c r="V264" s="26"/>
      <c r="W264" s="25"/>
      <c r="Y264" s="26"/>
      <c r="Z264" s="25"/>
      <c r="AB264" s="26"/>
      <c r="BN264" s="24"/>
      <c r="BO264" s="21"/>
      <c r="BP264" s="21"/>
      <c r="BQ264" s="21"/>
      <c r="BS264" s="22"/>
      <c r="BT264" s="21"/>
      <c r="BU264" s="21"/>
      <c r="CB264" s="21"/>
      <c r="CC264" s="21"/>
      <c r="CD264" s="21"/>
      <c r="CE264" s="21"/>
      <c r="CF264" s="21"/>
      <c r="CI264" s="23"/>
      <c r="CJ264" s="21"/>
      <c r="CK264" s="21"/>
      <c r="CL264" s="21"/>
      <c r="CM264" s="21"/>
      <c r="CQ264" s="21"/>
      <c r="CR264" s="21"/>
      <c r="CS264" s="21"/>
    </row>
    <row r="265" spans="11:97" ht="15.75">
      <c r="K265" s="25"/>
      <c r="M265" s="26"/>
      <c r="N265" s="25"/>
      <c r="P265" s="26"/>
      <c r="Q265" s="25"/>
      <c r="S265" s="26"/>
      <c r="T265" s="25"/>
      <c r="V265" s="26"/>
      <c r="W265" s="25"/>
      <c r="Y265" s="26"/>
      <c r="Z265" s="25"/>
      <c r="AB265" s="26"/>
      <c r="BN265" s="24"/>
      <c r="BO265" s="21"/>
      <c r="BP265" s="21"/>
      <c r="BQ265" s="21"/>
      <c r="BS265" s="22"/>
      <c r="BT265" s="21"/>
      <c r="BU265" s="21"/>
      <c r="CB265" s="21"/>
      <c r="CC265" s="21"/>
      <c r="CD265" s="21"/>
      <c r="CE265" s="21"/>
      <c r="CF265" s="21"/>
      <c r="CI265" s="23"/>
      <c r="CJ265" s="21"/>
      <c r="CK265" s="21"/>
      <c r="CL265" s="21"/>
      <c r="CM265" s="21"/>
      <c r="CQ265" s="21"/>
      <c r="CR265" s="21"/>
      <c r="CS265" s="21"/>
    </row>
    <row r="266" spans="11:97" ht="15.75">
      <c r="K266" s="25"/>
      <c r="M266" s="26"/>
      <c r="N266" s="25"/>
      <c r="P266" s="26"/>
      <c r="Q266" s="25"/>
      <c r="S266" s="26"/>
      <c r="T266" s="25"/>
      <c r="V266" s="26"/>
      <c r="W266" s="25"/>
      <c r="Y266" s="26"/>
      <c r="Z266" s="25"/>
      <c r="AB266" s="26"/>
      <c r="BN266" s="24"/>
      <c r="BO266" s="21"/>
      <c r="BP266" s="21"/>
      <c r="BQ266" s="21"/>
      <c r="BS266" s="22"/>
      <c r="BT266" s="21"/>
      <c r="BU266" s="21"/>
      <c r="CB266" s="21"/>
      <c r="CC266" s="21"/>
      <c r="CD266" s="21"/>
      <c r="CE266" s="21"/>
      <c r="CF266" s="21"/>
      <c r="CI266" s="23"/>
      <c r="CJ266" s="21"/>
      <c r="CK266" s="21"/>
      <c r="CL266" s="21"/>
      <c r="CM266" s="21"/>
      <c r="CQ266" s="21"/>
      <c r="CR266" s="21"/>
      <c r="CS266" s="21"/>
    </row>
    <row r="267" spans="11:97" ht="15.75">
      <c r="K267" s="25"/>
      <c r="M267" s="26"/>
      <c r="N267" s="25"/>
      <c r="P267" s="26"/>
      <c r="Q267" s="25"/>
      <c r="S267" s="26"/>
      <c r="T267" s="25"/>
      <c r="V267" s="26"/>
      <c r="W267" s="25"/>
      <c r="Y267" s="26"/>
      <c r="Z267" s="25"/>
      <c r="AB267" s="26"/>
      <c r="BN267" s="24"/>
      <c r="BO267" s="21"/>
      <c r="BP267" s="21"/>
      <c r="BQ267" s="21"/>
      <c r="BS267" s="22"/>
      <c r="BT267" s="21"/>
      <c r="BU267" s="21"/>
      <c r="CB267" s="21"/>
      <c r="CC267" s="21"/>
      <c r="CD267" s="21"/>
      <c r="CE267" s="21"/>
      <c r="CF267" s="21"/>
      <c r="CI267" s="23"/>
      <c r="CJ267" s="21"/>
      <c r="CK267" s="21"/>
      <c r="CL267" s="21"/>
      <c r="CM267" s="21"/>
      <c r="CQ267" s="21"/>
      <c r="CR267" s="21"/>
      <c r="CS267" s="21"/>
    </row>
    <row r="268" spans="11:97" ht="15.75">
      <c r="K268" s="25"/>
      <c r="M268" s="26"/>
      <c r="N268" s="25"/>
      <c r="P268" s="26"/>
      <c r="Q268" s="25"/>
      <c r="S268" s="26"/>
      <c r="T268" s="25"/>
      <c r="V268" s="26"/>
      <c r="W268" s="25"/>
      <c r="Y268" s="26"/>
      <c r="Z268" s="25"/>
      <c r="AB268" s="26"/>
      <c r="BN268" s="24"/>
      <c r="BO268" s="21"/>
      <c r="BP268" s="21"/>
      <c r="BQ268" s="21"/>
      <c r="BS268" s="22"/>
      <c r="BT268" s="21"/>
      <c r="BU268" s="21"/>
      <c r="CB268" s="21"/>
      <c r="CC268" s="21"/>
      <c r="CD268" s="21"/>
      <c r="CE268" s="21"/>
      <c r="CF268" s="21"/>
      <c r="CI268" s="23"/>
      <c r="CJ268" s="21"/>
      <c r="CK268" s="21"/>
      <c r="CL268" s="21"/>
      <c r="CM268" s="21"/>
      <c r="CQ268" s="21"/>
      <c r="CR268" s="21"/>
      <c r="CS268" s="21"/>
    </row>
    <row r="269" spans="11:97" ht="15.75">
      <c r="K269" s="25"/>
      <c r="M269" s="26"/>
      <c r="N269" s="25"/>
      <c r="P269" s="26"/>
      <c r="Q269" s="25"/>
      <c r="S269" s="26"/>
      <c r="T269" s="25"/>
      <c r="V269" s="26"/>
      <c r="W269" s="25"/>
      <c r="Y269" s="26"/>
      <c r="Z269" s="25"/>
      <c r="AB269" s="26"/>
      <c r="BN269" s="24"/>
      <c r="BO269" s="21"/>
      <c r="BP269" s="21"/>
      <c r="BQ269" s="21"/>
      <c r="BS269" s="22"/>
      <c r="BT269" s="21"/>
      <c r="BU269" s="21"/>
      <c r="CB269" s="21"/>
      <c r="CC269" s="21"/>
      <c r="CD269" s="21"/>
      <c r="CE269" s="21"/>
      <c r="CF269" s="21"/>
      <c r="CI269" s="23"/>
      <c r="CJ269" s="21"/>
      <c r="CK269" s="21"/>
      <c r="CL269" s="21"/>
      <c r="CM269" s="21"/>
      <c r="CQ269" s="21"/>
      <c r="CR269" s="21"/>
      <c r="CS269" s="21"/>
    </row>
    <row r="270" spans="11:97" ht="15.75">
      <c r="K270" s="25"/>
      <c r="M270" s="26"/>
      <c r="N270" s="25"/>
      <c r="P270" s="26"/>
      <c r="Q270" s="25"/>
      <c r="S270" s="26"/>
      <c r="T270" s="25"/>
      <c r="V270" s="26"/>
      <c r="W270" s="25"/>
      <c r="Y270" s="26"/>
      <c r="Z270" s="25"/>
      <c r="AB270" s="26"/>
      <c r="BN270" s="24"/>
      <c r="BO270" s="21"/>
      <c r="BP270" s="21"/>
      <c r="BQ270" s="21"/>
      <c r="BS270" s="22"/>
      <c r="BT270" s="21"/>
      <c r="BU270" s="21"/>
      <c r="CB270" s="21"/>
      <c r="CC270" s="21"/>
      <c r="CD270" s="21"/>
      <c r="CE270" s="21"/>
      <c r="CF270" s="21"/>
      <c r="CI270" s="23"/>
      <c r="CJ270" s="21"/>
      <c r="CK270" s="21"/>
      <c r="CL270" s="21"/>
      <c r="CM270" s="21"/>
      <c r="CQ270" s="21"/>
      <c r="CR270" s="21"/>
      <c r="CS270" s="21"/>
    </row>
    <row r="271" spans="11:97" ht="15.75">
      <c r="K271" s="25"/>
      <c r="M271" s="26"/>
      <c r="N271" s="25"/>
      <c r="P271" s="26"/>
      <c r="Q271" s="25"/>
      <c r="S271" s="26"/>
      <c r="T271" s="25"/>
      <c r="V271" s="26"/>
      <c r="W271" s="25"/>
      <c r="Y271" s="26"/>
      <c r="Z271" s="25"/>
      <c r="AB271" s="26"/>
      <c r="BN271" s="24"/>
      <c r="BO271" s="21"/>
      <c r="BP271" s="21"/>
      <c r="BQ271" s="21"/>
      <c r="BS271" s="22"/>
      <c r="BT271" s="21"/>
      <c r="BU271" s="21"/>
      <c r="CB271" s="21"/>
      <c r="CC271" s="21"/>
      <c r="CD271" s="21"/>
      <c r="CE271" s="21"/>
      <c r="CF271" s="21"/>
      <c r="CI271" s="23"/>
      <c r="CJ271" s="21"/>
      <c r="CK271" s="21"/>
      <c r="CL271" s="21"/>
      <c r="CM271" s="21"/>
      <c r="CQ271" s="21"/>
      <c r="CR271" s="21"/>
      <c r="CS271" s="21"/>
    </row>
    <row r="272" spans="11:97" ht="15.75">
      <c r="K272" s="25"/>
      <c r="M272" s="26"/>
      <c r="N272" s="25"/>
      <c r="P272" s="26"/>
      <c r="Q272" s="25"/>
      <c r="S272" s="26"/>
      <c r="T272" s="25"/>
      <c r="V272" s="26"/>
      <c r="W272" s="25"/>
      <c r="Y272" s="26"/>
      <c r="Z272" s="25"/>
      <c r="AB272" s="26"/>
      <c r="BN272" s="24"/>
      <c r="BO272" s="21"/>
      <c r="BP272" s="21"/>
      <c r="BQ272" s="21"/>
      <c r="BS272" s="22"/>
      <c r="BT272" s="21"/>
      <c r="BU272" s="21"/>
      <c r="CB272" s="21"/>
      <c r="CC272" s="21"/>
      <c r="CD272" s="21"/>
      <c r="CE272" s="21"/>
      <c r="CF272" s="21"/>
      <c r="CI272" s="23"/>
      <c r="CJ272" s="21"/>
      <c r="CK272" s="21"/>
      <c r="CL272" s="21"/>
      <c r="CM272" s="21"/>
      <c r="CQ272" s="21"/>
      <c r="CR272" s="21"/>
      <c r="CS272" s="21"/>
    </row>
    <row r="273" spans="11:97" ht="15.75">
      <c r="K273" s="25"/>
      <c r="M273" s="26"/>
      <c r="N273" s="25"/>
      <c r="P273" s="26"/>
      <c r="Q273" s="25"/>
      <c r="S273" s="26"/>
      <c r="T273" s="25"/>
      <c r="V273" s="26"/>
      <c r="W273" s="25"/>
      <c r="Y273" s="26"/>
      <c r="Z273" s="25"/>
      <c r="AB273" s="26"/>
      <c r="BN273" s="24"/>
      <c r="BO273" s="21"/>
      <c r="BP273" s="21"/>
      <c r="BQ273" s="21"/>
      <c r="BS273" s="22"/>
      <c r="BT273" s="21"/>
      <c r="BU273" s="21"/>
      <c r="CB273" s="21"/>
      <c r="CC273" s="21"/>
      <c r="CD273" s="21"/>
      <c r="CE273" s="21"/>
      <c r="CF273" s="21"/>
      <c r="CI273" s="23"/>
      <c r="CJ273" s="21"/>
      <c r="CK273" s="21"/>
      <c r="CL273" s="21"/>
      <c r="CM273" s="21"/>
      <c r="CQ273" s="21"/>
      <c r="CR273" s="21"/>
      <c r="CS273" s="21"/>
    </row>
    <row r="274" spans="11:97" ht="15.75">
      <c r="K274" s="25"/>
      <c r="M274" s="26"/>
      <c r="N274" s="25"/>
      <c r="P274" s="26"/>
      <c r="Q274" s="25"/>
      <c r="S274" s="26"/>
      <c r="T274" s="25"/>
      <c r="V274" s="26"/>
      <c r="W274" s="25"/>
      <c r="Y274" s="26"/>
      <c r="Z274" s="25"/>
      <c r="AB274" s="26"/>
      <c r="BN274" s="24"/>
      <c r="BO274" s="21"/>
      <c r="BP274" s="21"/>
      <c r="BQ274" s="21"/>
      <c r="BS274" s="22"/>
      <c r="BT274" s="21"/>
      <c r="BU274" s="21"/>
      <c r="CB274" s="21"/>
      <c r="CC274" s="21"/>
      <c r="CD274" s="21"/>
      <c r="CE274" s="21"/>
      <c r="CF274" s="21"/>
      <c r="CI274" s="23"/>
      <c r="CJ274" s="21"/>
      <c r="CK274" s="21"/>
      <c r="CL274" s="21"/>
      <c r="CM274" s="21"/>
      <c r="CQ274" s="21"/>
      <c r="CR274" s="21"/>
      <c r="CS274" s="21"/>
    </row>
    <row r="275" spans="11:97" ht="15.75">
      <c r="K275" s="25"/>
      <c r="M275" s="26"/>
      <c r="N275" s="25"/>
      <c r="P275" s="26"/>
      <c r="Q275" s="25"/>
      <c r="S275" s="26"/>
      <c r="T275" s="25"/>
      <c r="V275" s="26"/>
      <c r="W275" s="25"/>
      <c r="Y275" s="26"/>
      <c r="Z275" s="25"/>
      <c r="AB275" s="26"/>
      <c r="BN275" s="24"/>
      <c r="BO275" s="21"/>
      <c r="BP275" s="21"/>
      <c r="BQ275" s="21"/>
      <c r="BS275" s="22"/>
      <c r="BT275" s="21"/>
      <c r="BU275" s="21"/>
      <c r="CB275" s="21"/>
      <c r="CC275" s="21"/>
      <c r="CD275" s="21"/>
      <c r="CE275" s="21"/>
      <c r="CF275" s="21"/>
      <c r="CI275" s="23"/>
      <c r="CJ275" s="21"/>
      <c r="CK275" s="21"/>
      <c r="CL275" s="21"/>
      <c r="CM275" s="21"/>
      <c r="CQ275" s="21"/>
      <c r="CR275" s="21"/>
      <c r="CS275" s="21"/>
    </row>
    <row r="276" spans="11:97" ht="15.75">
      <c r="K276" s="25"/>
      <c r="M276" s="26"/>
      <c r="N276" s="25"/>
      <c r="P276" s="26"/>
      <c r="Q276" s="25"/>
      <c r="S276" s="26"/>
      <c r="T276" s="25"/>
      <c r="V276" s="26"/>
      <c r="W276" s="25"/>
      <c r="Y276" s="26"/>
      <c r="Z276" s="25"/>
      <c r="AB276" s="26"/>
      <c r="BN276" s="24"/>
      <c r="BO276" s="21"/>
      <c r="BP276" s="21"/>
      <c r="BQ276" s="21"/>
      <c r="BS276" s="22"/>
      <c r="BT276" s="21"/>
      <c r="BU276" s="21"/>
      <c r="CB276" s="21"/>
      <c r="CC276" s="21"/>
      <c r="CD276" s="21"/>
      <c r="CE276" s="21"/>
      <c r="CF276" s="21"/>
      <c r="CI276" s="23"/>
      <c r="CJ276" s="21"/>
      <c r="CK276" s="21"/>
      <c r="CL276" s="21"/>
      <c r="CM276" s="21"/>
      <c r="CQ276" s="21"/>
      <c r="CR276" s="21"/>
      <c r="CS276" s="21"/>
    </row>
    <row r="277" spans="11:97" ht="15.75">
      <c r="K277" s="25"/>
      <c r="M277" s="26"/>
      <c r="N277" s="25"/>
      <c r="P277" s="26"/>
      <c r="Q277" s="25"/>
      <c r="S277" s="26"/>
      <c r="T277" s="25"/>
      <c r="V277" s="26"/>
      <c r="W277" s="25"/>
      <c r="Y277" s="26"/>
      <c r="Z277" s="25"/>
      <c r="AB277" s="26"/>
      <c r="BN277" s="24"/>
      <c r="BO277" s="21"/>
      <c r="BP277" s="21"/>
      <c r="BQ277" s="21"/>
      <c r="BS277" s="22"/>
      <c r="BT277" s="21"/>
      <c r="BU277" s="21"/>
      <c r="CB277" s="21"/>
      <c r="CC277" s="21"/>
      <c r="CD277" s="21"/>
      <c r="CE277" s="21"/>
      <c r="CF277" s="21"/>
      <c r="CI277" s="23"/>
      <c r="CJ277" s="21"/>
      <c r="CK277" s="21"/>
      <c r="CL277" s="21"/>
      <c r="CM277" s="21"/>
      <c r="CQ277" s="21"/>
      <c r="CR277" s="21"/>
      <c r="CS277" s="21"/>
    </row>
    <row r="278" spans="11:97" ht="15.75">
      <c r="K278" s="25"/>
      <c r="M278" s="26"/>
      <c r="N278" s="25"/>
      <c r="P278" s="26"/>
      <c r="Q278" s="25"/>
      <c r="S278" s="26"/>
      <c r="T278" s="25"/>
      <c r="V278" s="26"/>
      <c r="W278" s="25"/>
      <c r="Y278" s="26"/>
      <c r="Z278" s="25"/>
      <c r="AB278" s="26"/>
      <c r="BN278" s="24"/>
      <c r="BO278" s="21"/>
      <c r="BP278" s="21"/>
      <c r="BQ278" s="21"/>
      <c r="BS278" s="22"/>
      <c r="BT278" s="21"/>
      <c r="BU278" s="21"/>
      <c r="CB278" s="21"/>
      <c r="CC278" s="21"/>
      <c r="CD278" s="21"/>
      <c r="CE278" s="21"/>
      <c r="CF278" s="21"/>
      <c r="CI278" s="23"/>
      <c r="CJ278" s="21"/>
      <c r="CK278" s="21"/>
      <c r="CL278" s="21"/>
      <c r="CM278" s="21"/>
      <c r="CQ278" s="21"/>
      <c r="CR278" s="21"/>
      <c r="CS278" s="21"/>
    </row>
    <row r="279" spans="11:97" ht="15.75">
      <c r="K279" s="25"/>
      <c r="M279" s="26"/>
      <c r="N279" s="25"/>
      <c r="P279" s="26"/>
      <c r="Q279" s="25"/>
      <c r="S279" s="26"/>
      <c r="T279" s="25"/>
      <c r="V279" s="26"/>
      <c r="W279" s="25"/>
      <c r="Y279" s="26"/>
      <c r="Z279" s="25"/>
      <c r="AB279" s="26"/>
      <c r="BN279" s="24"/>
      <c r="BO279" s="21"/>
      <c r="BP279" s="21"/>
      <c r="BQ279" s="21"/>
      <c r="BS279" s="22"/>
      <c r="BT279" s="21"/>
      <c r="BU279" s="21"/>
      <c r="CB279" s="21"/>
      <c r="CC279" s="21"/>
      <c r="CD279" s="21"/>
      <c r="CE279" s="21"/>
      <c r="CF279" s="21"/>
      <c r="CI279" s="23"/>
      <c r="CJ279" s="21"/>
      <c r="CK279" s="21"/>
      <c r="CL279" s="21"/>
      <c r="CM279" s="21"/>
      <c r="CQ279" s="21"/>
      <c r="CR279" s="21"/>
      <c r="CS279" s="21"/>
    </row>
    <row r="280" spans="11:97" ht="15.75">
      <c r="K280" s="25"/>
      <c r="M280" s="26"/>
      <c r="N280" s="25"/>
      <c r="P280" s="26"/>
      <c r="Q280" s="25"/>
      <c r="S280" s="26"/>
      <c r="T280" s="25"/>
      <c r="V280" s="26"/>
      <c r="W280" s="25"/>
      <c r="Y280" s="26"/>
      <c r="Z280" s="25"/>
      <c r="AB280" s="26"/>
      <c r="BN280" s="24"/>
      <c r="BO280" s="21"/>
      <c r="BP280" s="21"/>
      <c r="BQ280" s="21"/>
      <c r="BS280" s="22"/>
      <c r="BT280" s="21"/>
      <c r="BU280" s="21"/>
      <c r="CB280" s="21"/>
      <c r="CC280" s="21"/>
      <c r="CD280" s="21"/>
      <c r="CE280" s="21"/>
      <c r="CF280" s="21"/>
      <c r="CI280" s="23"/>
      <c r="CJ280" s="21"/>
      <c r="CK280" s="21"/>
      <c r="CL280" s="21"/>
      <c r="CM280" s="21"/>
      <c r="CQ280" s="21"/>
      <c r="CR280" s="21"/>
      <c r="CS280" s="21"/>
    </row>
    <row r="281" spans="11:97" ht="15.75">
      <c r="K281" s="25"/>
      <c r="M281" s="26"/>
      <c r="N281" s="25"/>
      <c r="P281" s="26"/>
      <c r="Q281" s="25"/>
      <c r="S281" s="26"/>
      <c r="T281" s="25"/>
      <c r="V281" s="26"/>
      <c r="W281" s="25"/>
      <c r="Y281" s="26"/>
      <c r="Z281" s="25"/>
      <c r="AB281" s="26"/>
      <c r="BN281" s="24"/>
      <c r="BO281" s="21"/>
      <c r="BP281" s="21"/>
      <c r="BQ281" s="21"/>
      <c r="BS281" s="22"/>
      <c r="BT281" s="21"/>
      <c r="BU281" s="21"/>
      <c r="CB281" s="21"/>
      <c r="CC281" s="21"/>
      <c r="CD281" s="21"/>
      <c r="CE281" s="21"/>
      <c r="CF281" s="21"/>
      <c r="CI281" s="23"/>
      <c r="CJ281" s="21"/>
      <c r="CK281" s="21"/>
      <c r="CL281" s="21"/>
      <c r="CM281" s="21"/>
      <c r="CQ281" s="21"/>
      <c r="CR281" s="21"/>
      <c r="CS281" s="21"/>
    </row>
    <row r="282" spans="11:97" ht="15.75">
      <c r="K282" s="25"/>
      <c r="M282" s="26"/>
      <c r="N282" s="25"/>
      <c r="P282" s="26"/>
      <c r="Q282" s="25"/>
      <c r="S282" s="26"/>
      <c r="T282" s="25"/>
      <c r="V282" s="26"/>
      <c r="W282" s="25"/>
      <c r="Y282" s="26"/>
      <c r="Z282" s="25"/>
      <c r="AB282" s="26"/>
      <c r="BN282" s="24"/>
      <c r="BO282" s="21"/>
      <c r="BP282" s="21"/>
      <c r="BQ282" s="21"/>
      <c r="BS282" s="22"/>
      <c r="BT282" s="21"/>
      <c r="BU282" s="21"/>
      <c r="CB282" s="21"/>
      <c r="CC282" s="21"/>
      <c r="CD282" s="21"/>
      <c r="CE282" s="21"/>
      <c r="CF282" s="21"/>
      <c r="CI282" s="23"/>
      <c r="CJ282" s="21"/>
      <c r="CK282" s="21"/>
      <c r="CL282" s="21"/>
      <c r="CM282" s="21"/>
      <c r="CQ282" s="21"/>
      <c r="CR282" s="21"/>
      <c r="CS282" s="21"/>
    </row>
    <row r="283" spans="11:97" ht="15.75">
      <c r="K283" s="25"/>
      <c r="M283" s="26"/>
      <c r="N283" s="25"/>
      <c r="P283" s="26"/>
      <c r="Q283" s="25"/>
      <c r="S283" s="26"/>
      <c r="T283" s="25"/>
      <c r="V283" s="26"/>
      <c r="W283" s="25"/>
      <c r="Y283" s="26"/>
      <c r="Z283" s="25"/>
      <c r="AB283" s="26"/>
      <c r="BN283" s="24"/>
      <c r="BO283" s="21"/>
      <c r="BP283" s="21"/>
      <c r="BQ283" s="21"/>
      <c r="BS283" s="22"/>
      <c r="BT283" s="21"/>
      <c r="BU283" s="21"/>
      <c r="CB283" s="21"/>
      <c r="CC283" s="21"/>
      <c r="CD283" s="21"/>
      <c r="CE283" s="21"/>
      <c r="CF283" s="21"/>
      <c r="CI283" s="23"/>
      <c r="CJ283" s="21"/>
      <c r="CK283" s="21"/>
      <c r="CL283" s="21"/>
      <c r="CM283" s="21"/>
      <c r="CQ283" s="21"/>
      <c r="CR283" s="21"/>
      <c r="CS283" s="21"/>
    </row>
    <row r="284" spans="11:97" ht="15.75">
      <c r="K284" s="25"/>
      <c r="M284" s="26"/>
      <c r="N284" s="25"/>
      <c r="P284" s="26"/>
      <c r="Q284" s="25"/>
      <c r="S284" s="26"/>
      <c r="T284" s="25"/>
      <c r="V284" s="26"/>
      <c r="W284" s="25"/>
      <c r="Y284" s="26"/>
      <c r="Z284" s="25"/>
      <c r="AB284" s="26"/>
      <c r="BN284" s="24"/>
      <c r="BO284" s="21"/>
      <c r="BP284" s="21"/>
      <c r="BQ284" s="21"/>
      <c r="BS284" s="22"/>
      <c r="BT284" s="21"/>
      <c r="BU284" s="21"/>
      <c r="CB284" s="21"/>
      <c r="CC284" s="21"/>
      <c r="CD284" s="21"/>
      <c r="CE284" s="21"/>
      <c r="CF284" s="21"/>
      <c r="CI284" s="23"/>
      <c r="CJ284" s="21"/>
      <c r="CK284" s="21"/>
      <c r="CL284" s="21"/>
      <c r="CM284" s="21"/>
      <c r="CQ284" s="21"/>
      <c r="CR284" s="21"/>
      <c r="CS284" s="21"/>
    </row>
    <row r="285" spans="11:97" ht="15.75">
      <c r="K285" s="25"/>
      <c r="M285" s="26"/>
      <c r="N285" s="25"/>
      <c r="P285" s="26"/>
      <c r="Q285" s="25"/>
      <c r="S285" s="26"/>
      <c r="T285" s="25"/>
      <c r="V285" s="26"/>
      <c r="W285" s="25"/>
      <c r="Y285" s="26"/>
      <c r="Z285" s="25"/>
      <c r="AB285" s="26"/>
      <c r="BN285" s="24"/>
      <c r="BO285" s="21"/>
      <c r="BP285" s="21"/>
      <c r="BQ285" s="21"/>
      <c r="BS285" s="22"/>
      <c r="BT285" s="21"/>
      <c r="BU285" s="21"/>
      <c r="CB285" s="21"/>
      <c r="CC285" s="21"/>
      <c r="CD285" s="21"/>
      <c r="CE285" s="21"/>
      <c r="CF285" s="21"/>
      <c r="CI285" s="23"/>
      <c r="CJ285" s="21"/>
      <c r="CK285" s="21"/>
      <c r="CL285" s="21"/>
      <c r="CM285" s="21"/>
      <c r="CQ285" s="21"/>
      <c r="CR285" s="21"/>
      <c r="CS285" s="21"/>
    </row>
    <row r="286" spans="11:97" ht="15.75">
      <c r="K286" s="25"/>
      <c r="M286" s="26"/>
      <c r="N286" s="25"/>
      <c r="P286" s="26"/>
      <c r="Q286" s="25"/>
      <c r="S286" s="26"/>
      <c r="T286" s="25"/>
      <c r="V286" s="26"/>
      <c r="W286" s="25"/>
      <c r="Y286" s="26"/>
      <c r="Z286" s="25"/>
      <c r="AB286" s="26"/>
      <c r="BN286" s="24"/>
      <c r="BO286" s="21"/>
      <c r="BP286" s="21"/>
      <c r="BQ286" s="21"/>
      <c r="BS286" s="22"/>
      <c r="BT286" s="21"/>
      <c r="BU286" s="21"/>
      <c r="CB286" s="21"/>
      <c r="CC286" s="21"/>
      <c r="CD286" s="21"/>
      <c r="CE286" s="21"/>
      <c r="CF286" s="21"/>
      <c r="CI286" s="23"/>
      <c r="CJ286" s="21"/>
      <c r="CK286" s="21"/>
      <c r="CL286" s="21"/>
      <c r="CM286" s="21"/>
      <c r="CQ286" s="21"/>
      <c r="CR286" s="21"/>
      <c r="CS286" s="21"/>
    </row>
    <row r="287" spans="11:97" ht="15.75">
      <c r="K287" s="25"/>
      <c r="M287" s="26"/>
      <c r="N287" s="25"/>
      <c r="P287" s="26"/>
      <c r="Q287" s="25"/>
      <c r="S287" s="26"/>
      <c r="T287" s="25"/>
      <c r="V287" s="26"/>
      <c r="W287" s="25"/>
      <c r="Y287" s="26"/>
      <c r="Z287" s="25"/>
      <c r="AB287" s="26"/>
      <c r="BN287" s="24"/>
      <c r="BO287" s="21"/>
      <c r="BP287" s="21"/>
      <c r="BQ287" s="21"/>
      <c r="BS287" s="22"/>
      <c r="BT287" s="21"/>
      <c r="BU287" s="21"/>
      <c r="CB287" s="21"/>
      <c r="CC287" s="21"/>
      <c r="CD287" s="21"/>
      <c r="CE287" s="21"/>
      <c r="CF287" s="21"/>
      <c r="CI287" s="23"/>
      <c r="CJ287" s="21"/>
      <c r="CK287" s="21"/>
      <c r="CL287" s="21"/>
      <c r="CM287" s="21"/>
      <c r="CQ287" s="21"/>
      <c r="CR287" s="21"/>
      <c r="CS287" s="21"/>
    </row>
    <row r="288" spans="11:97" ht="15.75">
      <c r="K288" s="25"/>
      <c r="M288" s="26"/>
      <c r="N288" s="25"/>
      <c r="P288" s="26"/>
      <c r="Q288" s="25"/>
      <c r="S288" s="26"/>
      <c r="T288" s="25"/>
      <c r="V288" s="26"/>
      <c r="W288" s="25"/>
      <c r="Y288" s="26"/>
      <c r="Z288" s="25"/>
      <c r="AB288" s="26"/>
      <c r="BN288" s="24"/>
      <c r="BO288" s="21"/>
      <c r="BP288" s="21"/>
      <c r="BQ288" s="21"/>
      <c r="BS288" s="22"/>
      <c r="BT288" s="21"/>
      <c r="BU288" s="21"/>
      <c r="CB288" s="21"/>
      <c r="CC288" s="21"/>
      <c r="CD288" s="21"/>
      <c r="CE288" s="21"/>
      <c r="CF288" s="21"/>
      <c r="CI288" s="23"/>
      <c r="CJ288" s="21"/>
      <c r="CK288" s="21"/>
      <c r="CL288" s="21"/>
      <c r="CM288" s="21"/>
      <c r="CQ288" s="21"/>
      <c r="CR288" s="21"/>
      <c r="CS288" s="21"/>
    </row>
    <row r="289" spans="11:97" ht="15.75">
      <c r="K289" s="25"/>
      <c r="M289" s="26"/>
      <c r="N289" s="25"/>
      <c r="P289" s="26"/>
      <c r="Q289" s="25"/>
      <c r="S289" s="26"/>
      <c r="T289" s="25"/>
      <c r="V289" s="26"/>
      <c r="W289" s="25"/>
      <c r="Y289" s="26"/>
      <c r="Z289" s="25"/>
      <c r="AB289" s="26"/>
      <c r="BN289" s="24"/>
      <c r="BO289" s="21"/>
      <c r="BP289" s="21"/>
      <c r="BQ289" s="21"/>
      <c r="BS289" s="22"/>
      <c r="BT289" s="21"/>
      <c r="BU289" s="21"/>
      <c r="CB289" s="21"/>
      <c r="CC289" s="21"/>
      <c r="CD289" s="21"/>
      <c r="CE289" s="21"/>
      <c r="CF289" s="21"/>
      <c r="CI289" s="23"/>
      <c r="CJ289" s="21"/>
      <c r="CK289" s="21"/>
      <c r="CL289" s="21"/>
      <c r="CM289" s="21"/>
      <c r="CQ289" s="21"/>
      <c r="CR289" s="21"/>
      <c r="CS289" s="21"/>
    </row>
    <row r="290" spans="11:97" ht="15.75">
      <c r="K290" s="25"/>
      <c r="M290" s="26"/>
      <c r="N290" s="25"/>
      <c r="P290" s="26"/>
      <c r="Q290" s="25"/>
      <c r="S290" s="26"/>
      <c r="T290" s="25"/>
      <c r="V290" s="26"/>
      <c r="W290" s="25"/>
      <c r="Y290" s="26"/>
      <c r="Z290" s="25"/>
      <c r="AB290" s="26"/>
      <c r="BN290" s="24"/>
      <c r="BO290" s="21"/>
      <c r="BP290" s="21"/>
      <c r="BQ290" s="21"/>
      <c r="BS290" s="22"/>
      <c r="BT290" s="21"/>
      <c r="BU290" s="21"/>
      <c r="CB290" s="21"/>
      <c r="CC290" s="21"/>
      <c r="CD290" s="21"/>
      <c r="CE290" s="21"/>
      <c r="CF290" s="21"/>
      <c r="CI290" s="23"/>
      <c r="CJ290" s="21"/>
      <c r="CK290" s="21"/>
      <c r="CL290" s="21"/>
      <c r="CM290" s="21"/>
      <c r="CQ290" s="21"/>
      <c r="CR290" s="21"/>
      <c r="CS290" s="21"/>
    </row>
    <row r="291" spans="11:97" ht="15.75">
      <c r="K291" s="25"/>
      <c r="M291" s="26"/>
      <c r="N291" s="25"/>
      <c r="P291" s="26"/>
      <c r="Q291" s="25"/>
      <c r="S291" s="26"/>
      <c r="T291" s="25"/>
      <c r="V291" s="26"/>
      <c r="W291" s="25"/>
      <c r="Y291" s="26"/>
      <c r="Z291" s="25"/>
      <c r="AB291" s="26"/>
      <c r="BN291" s="24"/>
      <c r="BO291" s="21"/>
      <c r="BP291" s="21"/>
      <c r="BQ291" s="21"/>
      <c r="BS291" s="22"/>
      <c r="BT291" s="21"/>
      <c r="BU291" s="21"/>
      <c r="CB291" s="21"/>
      <c r="CC291" s="21"/>
      <c r="CD291" s="21"/>
      <c r="CE291" s="21"/>
      <c r="CF291" s="21"/>
      <c r="CI291" s="23"/>
      <c r="CJ291" s="21"/>
      <c r="CK291" s="21"/>
      <c r="CL291" s="21"/>
      <c r="CM291" s="21"/>
      <c r="CQ291" s="21"/>
      <c r="CR291" s="21"/>
      <c r="CS291" s="21"/>
    </row>
    <row r="292" spans="11:97" ht="15.75">
      <c r="K292" s="25"/>
      <c r="M292" s="26"/>
      <c r="N292" s="25"/>
      <c r="P292" s="26"/>
      <c r="Q292" s="25"/>
      <c r="S292" s="26"/>
      <c r="T292" s="25"/>
      <c r="V292" s="26"/>
      <c r="W292" s="25"/>
      <c r="Y292" s="26"/>
      <c r="Z292" s="25"/>
      <c r="AB292" s="26"/>
      <c r="BN292" s="24"/>
      <c r="BO292" s="21"/>
      <c r="BP292" s="21"/>
      <c r="BQ292" s="21"/>
      <c r="BS292" s="22"/>
      <c r="BT292" s="21"/>
      <c r="BU292" s="21"/>
      <c r="CB292" s="21"/>
      <c r="CC292" s="21"/>
      <c r="CD292" s="21"/>
      <c r="CE292" s="21"/>
      <c r="CF292" s="21"/>
      <c r="CI292" s="23"/>
      <c r="CJ292" s="21"/>
      <c r="CK292" s="21"/>
      <c r="CL292" s="21"/>
      <c r="CM292" s="21"/>
      <c r="CQ292" s="21"/>
      <c r="CR292" s="21"/>
      <c r="CS292" s="21"/>
    </row>
    <row r="293" spans="11:97" ht="15.75">
      <c r="K293" s="25"/>
      <c r="M293" s="26"/>
      <c r="N293" s="25"/>
      <c r="P293" s="26"/>
      <c r="Q293" s="25"/>
      <c r="S293" s="26"/>
      <c r="T293" s="25"/>
      <c r="V293" s="26"/>
      <c r="W293" s="25"/>
      <c r="Y293" s="26"/>
      <c r="Z293" s="25"/>
      <c r="AB293" s="26"/>
      <c r="BN293" s="24"/>
      <c r="BO293" s="21"/>
      <c r="BP293" s="21"/>
      <c r="BQ293" s="21"/>
      <c r="BS293" s="22"/>
      <c r="BT293" s="21"/>
      <c r="BU293" s="21"/>
      <c r="CB293" s="21"/>
      <c r="CC293" s="21"/>
      <c r="CD293" s="21"/>
      <c r="CE293" s="21"/>
      <c r="CF293" s="21"/>
      <c r="CI293" s="23"/>
      <c r="CJ293" s="21"/>
      <c r="CK293" s="21"/>
      <c r="CL293" s="21"/>
      <c r="CM293" s="21"/>
      <c r="CQ293" s="21"/>
      <c r="CR293" s="21"/>
      <c r="CS293" s="21"/>
    </row>
    <row r="294" spans="11:97" ht="15.75">
      <c r="K294" s="25"/>
      <c r="M294" s="26"/>
      <c r="N294" s="25"/>
      <c r="P294" s="26"/>
      <c r="Q294" s="25"/>
      <c r="S294" s="26"/>
      <c r="T294" s="25"/>
      <c r="V294" s="26"/>
      <c r="W294" s="25"/>
      <c r="Y294" s="26"/>
      <c r="Z294" s="25"/>
      <c r="AB294" s="26"/>
      <c r="BN294" s="24"/>
      <c r="BO294" s="21"/>
      <c r="BP294" s="21"/>
      <c r="BQ294" s="21"/>
      <c r="BS294" s="22"/>
      <c r="BT294" s="21"/>
      <c r="BU294" s="21"/>
      <c r="CB294" s="21"/>
      <c r="CC294" s="21"/>
      <c r="CD294" s="21"/>
      <c r="CE294" s="21"/>
      <c r="CF294" s="21"/>
      <c r="CI294" s="23"/>
      <c r="CJ294" s="21"/>
      <c r="CK294" s="21"/>
      <c r="CL294" s="21"/>
      <c r="CM294" s="21"/>
      <c r="CQ294" s="21"/>
      <c r="CR294" s="21"/>
      <c r="CS294" s="21"/>
    </row>
    <row r="295" spans="11:97" ht="15.75">
      <c r="K295" s="25"/>
      <c r="M295" s="26"/>
      <c r="N295" s="25"/>
      <c r="P295" s="26"/>
      <c r="Q295" s="25"/>
      <c r="S295" s="26"/>
      <c r="T295" s="25"/>
      <c r="V295" s="26"/>
      <c r="W295" s="25"/>
      <c r="Y295" s="26"/>
      <c r="Z295" s="25"/>
      <c r="AB295" s="26"/>
      <c r="BN295" s="24"/>
      <c r="BO295" s="21"/>
      <c r="BP295" s="21"/>
      <c r="BQ295" s="21"/>
      <c r="BS295" s="22"/>
      <c r="BT295" s="21"/>
      <c r="BU295" s="21"/>
      <c r="CB295" s="21"/>
      <c r="CC295" s="21"/>
      <c r="CD295" s="21"/>
      <c r="CE295" s="21"/>
      <c r="CF295" s="21"/>
      <c r="CI295" s="23"/>
      <c r="CJ295" s="21"/>
      <c r="CK295" s="21"/>
      <c r="CL295" s="21"/>
      <c r="CM295" s="21"/>
      <c r="CQ295" s="21"/>
      <c r="CR295" s="21"/>
      <c r="CS295" s="21"/>
    </row>
    <row r="296" spans="11:97" ht="15.75">
      <c r="K296" s="25"/>
      <c r="M296" s="26"/>
      <c r="N296" s="25"/>
      <c r="P296" s="26"/>
      <c r="Q296" s="25"/>
      <c r="S296" s="26"/>
      <c r="T296" s="25"/>
      <c r="V296" s="26"/>
      <c r="W296" s="25"/>
      <c r="Y296" s="26"/>
      <c r="Z296" s="25"/>
      <c r="AB296" s="26"/>
      <c r="BN296" s="24"/>
      <c r="BO296" s="21"/>
      <c r="BP296" s="21"/>
      <c r="BQ296" s="21"/>
      <c r="BS296" s="22"/>
      <c r="BT296" s="21"/>
      <c r="BU296" s="21"/>
      <c r="CB296" s="21"/>
      <c r="CC296" s="21"/>
      <c r="CD296" s="21"/>
      <c r="CE296" s="21"/>
      <c r="CF296" s="21"/>
      <c r="CI296" s="23"/>
      <c r="CJ296" s="21"/>
      <c r="CK296" s="21"/>
      <c r="CL296" s="21"/>
      <c r="CM296" s="21"/>
      <c r="CQ296" s="21"/>
      <c r="CR296" s="21"/>
      <c r="CS296" s="21"/>
    </row>
    <row r="297" spans="11:97" ht="15.75">
      <c r="K297" s="25"/>
      <c r="M297" s="26"/>
      <c r="N297" s="25"/>
      <c r="P297" s="26"/>
      <c r="Q297" s="25"/>
      <c r="S297" s="26"/>
      <c r="T297" s="25"/>
      <c r="V297" s="26"/>
      <c r="W297" s="25"/>
      <c r="Y297" s="26"/>
      <c r="Z297" s="25"/>
      <c r="AB297" s="26"/>
      <c r="BN297" s="24"/>
      <c r="BO297" s="21"/>
      <c r="BP297" s="21"/>
      <c r="BQ297" s="21"/>
      <c r="BS297" s="22"/>
      <c r="BT297" s="21"/>
      <c r="BU297" s="21"/>
      <c r="CB297" s="21"/>
      <c r="CC297" s="21"/>
      <c r="CD297" s="21"/>
      <c r="CE297" s="21"/>
      <c r="CF297" s="21"/>
      <c r="CI297" s="23"/>
      <c r="CJ297" s="21"/>
      <c r="CK297" s="21"/>
      <c r="CL297" s="21"/>
      <c r="CM297" s="21"/>
      <c r="CQ297" s="21"/>
      <c r="CR297" s="21"/>
      <c r="CS297" s="21"/>
    </row>
    <row r="298" spans="11:97" ht="15.75">
      <c r="K298" s="25"/>
      <c r="M298" s="26"/>
      <c r="N298" s="25"/>
      <c r="P298" s="26"/>
      <c r="Q298" s="25"/>
      <c r="S298" s="26"/>
      <c r="T298" s="25"/>
      <c r="V298" s="26"/>
      <c r="W298" s="25"/>
      <c r="Y298" s="26"/>
      <c r="Z298" s="25"/>
      <c r="AB298" s="26"/>
      <c r="BN298" s="24"/>
      <c r="BO298" s="21"/>
      <c r="BP298" s="21"/>
      <c r="BQ298" s="21"/>
      <c r="BS298" s="22"/>
      <c r="BT298" s="21"/>
      <c r="BU298" s="21"/>
      <c r="CB298" s="21"/>
      <c r="CC298" s="21"/>
      <c r="CD298" s="21"/>
      <c r="CE298" s="21"/>
      <c r="CF298" s="21"/>
      <c r="CI298" s="23"/>
      <c r="CJ298" s="21"/>
      <c r="CK298" s="21"/>
      <c r="CL298" s="21"/>
      <c r="CM298" s="21"/>
      <c r="CQ298" s="21"/>
      <c r="CR298" s="21"/>
      <c r="CS298" s="21"/>
    </row>
    <row r="299" spans="11:97" ht="15.75">
      <c r="K299" s="25"/>
      <c r="M299" s="26"/>
      <c r="N299" s="25"/>
      <c r="P299" s="26"/>
      <c r="Q299" s="25"/>
      <c r="S299" s="26"/>
      <c r="T299" s="25"/>
      <c r="V299" s="26"/>
      <c r="W299" s="25"/>
      <c r="Y299" s="26"/>
      <c r="Z299" s="25"/>
      <c r="AB299" s="26"/>
      <c r="BN299" s="24"/>
      <c r="BO299" s="21"/>
      <c r="BP299" s="21"/>
      <c r="BQ299" s="21"/>
      <c r="BS299" s="22"/>
      <c r="BT299" s="21"/>
      <c r="BU299" s="21"/>
      <c r="CB299" s="21"/>
      <c r="CC299" s="21"/>
      <c r="CD299" s="21"/>
      <c r="CE299" s="21"/>
      <c r="CF299" s="21"/>
      <c r="CI299" s="23"/>
      <c r="CJ299" s="21"/>
      <c r="CK299" s="21"/>
      <c r="CL299" s="21"/>
      <c r="CM299" s="21"/>
      <c r="CQ299" s="21"/>
      <c r="CR299" s="21"/>
      <c r="CS299" s="21"/>
    </row>
    <row r="300" spans="11:97" ht="15.75">
      <c r="K300" s="25"/>
      <c r="M300" s="26"/>
      <c r="N300" s="25"/>
      <c r="P300" s="26"/>
      <c r="Q300" s="25"/>
      <c r="S300" s="26"/>
      <c r="T300" s="25"/>
      <c r="V300" s="26"/>
      <c r="W300" s="25"/>
      <c r="Y300" s="26"/>
      <c r="Z300" s="25"/>
      <c r="AB300" s="26"/>
      <c r="BN300" s="24"/>
      <c r="BO300" s="21"/>
      <c r="BP300" s="21"/>
      <c r="BQ300" s="21"/>
      <c r="BS300" s="22"/>
      <c r="BT300" s="21"/>
      <c r="BU300" s="21"/>
      <c r="CB300" s="21"/>
      <c r="CC300" s="21"/>
      <c r="CD300" s="21"/>
      <c r="CE300" s="21"/>
      <c r="CF300" s="21"/>
      <c r="CI300" s="23"/>
      <c r="CJ300" s="21"/>
      <c r="CK300" s="21"/>
      <c r="CL300" s="21"/>
      <c r="CM300" s="21"/>
      <c r="CQ300" s="21"/>
      <c r="CR300" s="21"/>
      <c r="CS300" s="21"/>
    </row>
    <row r="301" spans="11:97" ht="15.75">
      <c r="K301" s="25"/>
      <c r="M301" s="26"/>
      <c r="N301" s="25"/>
      <c r="P301" s="26"/>
      <c r="Q301" s="25"/>
      <c r="S301" s="26"/>
      <c r="T301" s="25"/>
      <c r="V301" s="26"/>
      <c r="W301" s="25"/>
      <c r="Y301" s="26"/>
      <c r="Z301" s="25"/>
      <c r="AB301" s="26"/>
      <c r="BN301" s="24"/>
      <c r="BO301" s="21"/>
      <c r="BP301" s="21"/>
      <c r="BQ301" s="21"/>
      <c r="BS301" s="22"/>
      <c r="BT301" s="21"/>
      <c r="BU301" s="21"/>
      <c r="CB301" s="21"/>
      <c r="CC301" s="21"/>
      <c r="CD301" s="21"/>
      <c r="CE301" s="21"/>
      <c r="CF301" s="21"/>
      <c r="CI301" s="23"/>
      <c r="CJ301" s="21"/>
      <c r="CK301" s="21"/>
      <c r="CL301" s="21"/>
      <c r="CM301" s="21"/>
      <c r="CQ301" s="21"/>
      <c r="CR301" s="21"/>
      <c r="CS301" s="21"/>
    </row>
    <row r="302" spans="11:97" ht="15.75">
      <c r="K302" s="25"/>
      <c r="M302" s="26"/>
      <c r="N302" s="25"/>
      <c r="P302" s="26"/>
      <c r="Q302" s="25"/>
      <c r="S302" s="26"/>
      <c r="T302" s="25"/>
      <c r="V302" s="26"/>
      <c r="W302" s="25"/>
      <c r="Y302" s="26"/>
      <c r="Z302" s="25"/>
      <c r="AB302" s="26"/>
      <c r="BN302" s="24"/>
      <c r="BO302" s="21"/>
      <c r="BP302" s="21"/>
      <c r="BQ302" s="21"/>
      <c r="BS302" s="22"/>
      <c r="BT302" s="21"/>
      <c r="BU302" s="21"/>
      <c r="CB302" s="21"/>
      <c r="CC302" s="21"/>
      <c r="CD302" s="21"/>
      <c r="CE302" s="21"/>
      <c r="CF302" s="21"/>
      <c r="CI302" s="23"/>
      <c r="CJ302" s="21"/>
      <c r="CK302" s="21"/>
      <c r="CL302" s="21"/>
      <c r="CM302" s="21"/>
      <c r="CQ302" s="21"/>
      <c r="CR302" s="21"/>
      <c r="CS302" s="21"/>
    </row>
    <row r="303" spans="11:97" ht="15.75">
      <c r="K303" s="25"/>
      <c r="M303" s="26"/>
      <c r="N303" s="25"/>
      <c r="P303" s="26"/>
      <c r="Q303" s="25"/>
      <c r="S303" s="26"/>
      <c r="T303" s="25"/>
      <c r="V303" s="26"/>
      <c r="W303" s="25"/>
      <c r="Y303" s="26"/>
      <c r="Z303" s="25"/>
      <c r="AB303" s="26"/>
      <c r="BN303" s="24"/>
      <c r="BO303" s="21"/>
      <c r="BP303" s="21"/>
      <c r="BQ303" s="21"/>
      <c r="BS303" s="22"/>
      <c r="BT303" s="21"/>
      <c r="BU303" s="21"/>
      <c r="CB303" s="21"/>
      <c r="CC303" s="21"/>
      <c r="CD303" s="21"/>
      <c r="CE303" s="21"/>
      <c r="CF303" s="21"/>
      <c r="CI303" s="23"/>
      <c r="CJ303" s="21"/>
      <c r="CK303" s="21"/>
      <c r="CL303" s="21"/>
      <c r="CM303" s="21"/>
      <c r="CQ303" s="21"/>
      <c r="CR303" s="21"/>
      <c r="CS303" s="21"/>
    </row>
    <row r="304" spans="11:97" ht="15.75">
      <c r="K304" s="25"/>
      <c r="M304" s="26"/>
      <c r="N304" s="25"/>
      <c r="P304" s="26"/>
      <c r="Q304" s="25"/>
      <c r="S304" s="26"/>
      <c r="T304" s="25"/>
      <c r="V304" s="26"/>
      <c r="W304" s="25"/>
      <c r="Y304" s="26"/>
      <c r="Z304" s="25"/>
      <c r="AB304" s="26"/>
      <c r="BN304" s="24"/>
      <c r="BO304" s="21"/>
      <c r="BP304" s="21"/>
      <c r="BQ304" s="21"/>
      <c r="BS304" s="22"/>
      <c r="BT304" s="21"/>
      <c r="BU304" s="21"/>
      <c r="CB304" s="21"/>
      <c r="CC304" s="21"/>
      <c r="CD304" s="21"/>
      <c r="CE304" s="21"/>
      <c r="CF304" s="21"/>
      <c r="CI304" s="23"/>
      <c r="CJ304" s="21"/>
      <c r="CK304" s="21"/>
      <c r="CL304" s="21"/>
      <c r="CM304" s="21"/>
      <c r="CQ304" s="21"/>
      <c r="CR304" s="21"/>
      <c r="CS304" s="21"/>
    </row>
    <row r="305" spans="11:97" ht="15.75">
      <c r="K305" s="25"/>
      <c r="M305" s="26"/>
      <c r="N305" s="25"/>
      <c r="P305" s="26"/>
      <c r="Q305" s="25"/>
      <c r="S305" s="26"/>
      <c r="T305" s="25"/>
      <c r="V305" s="26"/>
      <c r="W305" s="25"/>
      <c r="Y305" s="26"/>
      <c r="Z305" s="25"/>
      <c r="AB305" s="26"/>
      <c r="BN305" s="24"/>
      <c r="BO305" s="21"/>
      <c r="BP305" s="21"/>
      <c r="BQ305" s="21"/>
      <c r="BS305" s="22"/>
      <c r="BT305" s="21"/>
      <c r="BU305" s="21"/>
      <c r="CB305" s="21"/>
      <c r="CC305" s="21"/>
      <c r="CD305" s="21"/>
      <c r="CE305" s="21"/>
      <c r="CF305" s="21"/>
      <c r="CI305" s="23"/>
      <c r="CJ305" s="21"/>
      <c r="CK305" s="21"/>
      <c r="CL305" s="21"/>
      <c r="CM305" s="21"/>
      <c r="CQ305" s="21"/>
      <c r="CR305" s="21"/>
      <c r="CS305" s="21"/>
    </row>
    <row r="306" spans="11:97" ht="15.75">
      <c r="K306" s="25"/>
      <c r="M306" s="26"/>
      <c r="N306" s="25"/>
      <c r="P306" s="26"/>
      <c r="Q306" s="25"/>
      <c r="S306" s="26"/>
      <c r="T306" s="25"/>
      <c r="V306" s="26"/>
      <c r="W306" s="25"/>
      <c r="Y306" s="26"/>
      <c r="Z306" s="25"/>
      <c r="AB306" s="26"/>
      <c r="BN306" s="24"/>
      <c r="BO306" s="21"/>
      <c r="BP306" s="21"/>
      <c r="BQ306" s="21"/>
      <c r="BS306" s="22"/>
      <c r="BT306" s="21"/>
      <c r="BU306" s="21"/>
      <c r="CB306" s="21"/>
      <c r="CC306" s="21"/>
      <c r="CD306" s="21"/>
      <c r="CE306" s="21"/>
      <c r="CF306" s="21"/>
      <c r="CI306" s="23"/>
      <c r="CJ306" s="21"/>
      <c r="CK306" s="21"/>
      <c r="CL306" s="21"/>
      <c r="CM306" s="21"/>
      <c r="CQ306" s="21"/>
      <c r="CR306" s="21"/>
      <c r="CS306" s="21"/>
    </row>
    <row r="307" spans="11:97" ht="15.75">
      <c r="K307" s="25"/>
      <c r="M307" s="26"/>
      <c r="N307" s="25"/>
      <c r="P307" s="26"/>
      <c r="Q307" s="25"/>
      <c r="S307" s="26"/>
      <c r="T307" s="25"/>
      <c r="V307" s="26"/>
      <c r="W307" s="25"/>
      <c r="Y307" s="26"/>
      <c r="Z307" s="25"/>
      <c r="AB307" s="26"/>
      <c r="BN307" s="24"/>
      <c r="BO307" s="21"/>
      <c r="BP307" s="21"/>
      <c r="BQ307" s="21"/>
      <c r="BS307" s="22"/>
      <c r="BT307" s="21"/>
      <c r="BU307" s="21"/>
      <c r="CB307" s="21"/>
      <c r="CC307" s="21"/>
      <c r="CD307" s="21"/>
      <c r="CE307" s="21"/>
      <c r="CF307" s="21"/>
      <c r="CI307" s="23"/>
      <c r="CJ307" s="21"/>
      <c r="CK307" s="21"/>
      <c r="CL307" s="21"/>
      <c r="CM307" s="21"/>
      <c r="CQ307" s="21"/>
      <c r="CR307" s="21"/>
      <c r="CS307" s="21"/>
    </row>
    <row r="308" spans="11:97" ht="15.75">
      <c r="K308" s="25"/>
      <c r="M308" s="26"/>
      <c r="N308" s="25"/>
      <c r="P308" s="26"/>
      <c r="Q308" s="25"/>
      <c r="S308" s="26"/>
      <c r="T308" s="25"/>
      <c r="V308" s="26"/>
      <c r="W308" s="25"/>
      <c r="Y308" s="26"/>
      <c r="Z308" s="25"/>
      <c r="AB308" s="26"/>
      <c r="BN308" s="24"/>
      <c r="BO308" s="21"/>
      <c r="BP308" s="21"/>
      <c r="BQ308" s="21"/>
      <c r="BS308" s="22"/>
      <c r="BT308" s="21"/>
      <c r="BU308" s="21"/>
      <c r="CB308" s="21"/>
      <c r="CC308" s="21"/>
      <c r="CD308" s="21"/>
      <c r="CE308" s="21"/>
      <c r="CF308" s="21"/>
      <c r="CI308" s="23"/>
      <c r="CJ308" s="21"/>
      <c r="CK308" s="21"/>
      <c r="CL308" s="21"/>
      <c r="CM308" s="21"/>
      <c r="CQ308" s="21"/>
      <c r="CR308" s="21"/>
      <c r="CS308" s="21"/>
    </row>
    <row r="309" spans="11:97" ht="15.75">
      <c r="K309" s="25"/>
      <c r="M309" s="26"/>
      <c r="N309" s="25"/>
      <c r="P309" s="26"/>
      <c r="Q309" s="25"/>
      <c r="S309" s="26"/>
      <c r="T309" s="25"/>
      <c r="V309" s="26"/>
      <c r="W309" s="25"/>
      <c r="Y309" s="26"/>
      <c r="Z309" s="25"/>
      <c r="AB309" s="26"/>
      <c r="BN309" s="24"/>
      <c r="BO309" s="21"/>
      <c r="BP309" s="21"/>
      <c r="BQ309" s="21"/>
      <c r="BS309" s="22"/>
      <c r="BT309" s="21"/>
      <c r="BU309" s="21"/>
      <c r="CB309" s="21"/>
      <c r="CC309" s="21"/>
      <c r="CD309" s="21"/>
      <c r="CE309" s="21"/>
      <c r="CF309" s="21"/>
      <c r="CI309" s="23"/>
      <c r="CJ309" s="21"/>
      <c r="CK309" s="21"/>
      <c r="CL309" s="21"/>
      <c r="CM309" s="21"/>
      <c r="CQ309" s="21"/>
      <c r="CR309" s="21"/>
      <c r="CS309" s="21"/>
    </row>
    <row r="310" spans="11:97" ht="15.75">
      <c r="K310" s="25"/>
      <c r="M310" s="26"/>
      <c r="N310" s="25"/>
      <c r="P310" s="26"/>
      <c r="Q310" s="25"/>
      <c r="S310" s="26"/>
      <c r="T310" s="25"/>
      <c r="V310" s="26"/>
      <c r="W310" s="25"/>
      <c r="Y310" s="26"/>
      <c r="Z310" s="25"/>
      <c r="AB310" s="26"/>
      <c r="BN310" s="24"/>
      <c r="BO310" s="21"/>
      <c r="BP310" s="21"/>
      <c r="BQ310" s="21"/>
      <c r="BS310" s="22"/>
      <c r="BT310" s="21"/>
      <c r="BU310" s="21"/>
      <c r="CB310" s="21"/>
      <c r="CC310" s="21"/>
      <c r="CD310" s="21"/>
      <c r="CE310" s="21"/>
      <c r="CF310" s="21"/>
      <c r="CI310" s="23"/>
      <c r="CJ310" s="21"/>
      <c r="CK310" s="21"/>
      <c r="CL310" s="21"/>
      <c r="CM310" s="21"/>
      <c r="CQ310" s="21"/>
      <c r="CR310" s="21"/>
      <c r="CS310" s="21"/>
    </row>
    <row r="311" spans="11:97" ht="15.75">
      <c r="K311" s="25"/>
      <c r="M311" s="26"/>
      <c r="N311" s="25"/>
      <c r="P311" s="26"/>
      <c r="Q311" s="25"/>
      <c r="S311" s="26"/>
      <c r="T311" s="25"/>
      <c r="V311" s="26"/>
      <c r="W311" s="25"/>
      <c r="Y311" s="26"/>
      <c r="Z311" s="25"/>
      <c r="AB311" s="26"/>
      <c r="BN311" s="24"/>
      <c r="BO311" s="21"/>
      <c r="BP311" s="21"/>
      <c r="BQ311" s="21"/>
      <c r="BS311" s="22"/>
      <c r="BT311" s="21"/>
      <c r="BU311" s="21"/>
      <c r="CB311" s="21"/>
      <c r="CC311" s="21"/>
      <c r="CD311" s="21"/>
      <c r="CE311" s="21"/>
      <c r="CF311" s="21"/>
      <c r="CI311" s="23"/>
      <c r="CJ311" s="21"/>
      <c r="CK311" s="21"/>
      <c r="CL311" s="21"/>
      <c r="CM311" s="21"/>
      <c r="CQ311" s="21"/>
      <c r="CR311" s="21"/>
      <c r="CS311" s="21"/>
    </row>
    <row r="312" spans="11:97" ht="15.75">
      <c r="K312" s="25"/>
      <c r="M312" s="26"/>
      <c r="N312" s="25"/>
      <c r="P312" s="26"/>
      <c r="Q312" s="25"/>
      <c r="S312" s="26"/>
      <c r="T312" s="25"/>
      <c r="V312" s="26"/>
      <c r="W312" s="25"/>
      <c r="Y312" s="26"/>
      <c r="Z312" s="25"/>
      <c r="AB312" s="26"/>
      <c r="BN312" s="24"/>
      <c r="BO312" s="21"/>
      <c r="BP312" s="21"/>
      <c r="BQ312" s="21"/>
      <c r="BS312" s="22"/>
      <c r="BT312" s="21"/>
      <c r="BU312" s="21"/>
      <c r="CB312" s="21"/>
      <c r="CC312" s="21"/>
      <c r="CD312" s="21"/>
      <c r="CE312" s="21"/>
      <c r="CF312" s="21"/>
      <c r="CI312" s="23"/>
      <c r="CJ312" s="21"/>
      <c r="CK312" s="21"/>
      <c r="CL312" s="21"/>
      <c r="CM312" s="21"/>
      <c r="CQ312" s="21"/>
      <c r="CR312" s="21"/>
      <c r="CS312" s="21"/>
    </row>
    <row r="313" spans="11:97" ht="15.75">
      <c r="K313" s="25"/>
      <c r="M313" s="26"/>
      <c r="N313" s="25"/>
      <c r="P313" s="26"/>
      <c r="Q313" s="25"/>
      <c r="S313" s="26"/>
      <c r="T313" s="25"/>
      <c r="V313" s="26"/>
      <c r="W313" s="25"/>
      <c r="Y313" s="26"/>
      <c r="Z313" s="25"/>
      <c r="AB313" s="26"/>
      <c r="BN313" s="24"/>
      <c r="BO313" s="21"/>
      <c r="BP313" s="21"/>
      <c r="BQ313" s="21"/>
      <c r="BS313" s="22"/>
      <c r="BT313" s="21"/>
      <c r="BU313" s="21"/>
      <c r="CB313" s="21"/>
      <c r="CC313" s="21"/>
      <c r="CD313" s="21"/>
      <c r="CE313" s="21"/>
      <c r="CF313" s="21"/>
      <c r="CI313" s="23"/>
      <c r="CJ313" s="21"/>
      <c r="CK313" s="21"/>
      <c r="CL313" s="21"/>
      <c r="CM313" s="21"/>
      <c r="CQ313" s="21"/>
      <c r="CR313" s="21"/>
      <c r="CS313" s="21"/>
    </row>
    <row r="314" spans="11:97" ht="15.75">
      <c r="K314" s="25"/>
      <c r="M314" s="26"/>
      <c r="N314" s="25"/>
      <c r="P314" s="26"/>
      <c r="Q314" s="25"/>
      <c r="S314" s="26"/>
      <c r="T314" s="25"/>
      <c r="V314" s="26"/>
      <c r="W314" s="25"/>
      <c r="Y314" s="26"/>
      <c r="Z314" s="25"/>
      <c r="AB314" s="26"/>
      <c r="BN314" s="24"/>
      <c r="BO314" s="21"/>
      <c r="BP314" s="21"/>
      <c r="BQ314" s="21"/>
      <c r="BS314" s="22"/>
      <c r="BT314" s="21"/>
      <c r="BU314" s="21"/>
      <c r="CB314" s="21"/>
      <c r="CC314" s="21"/>
      <c r="CD314" s="21"/>
      <c r="CE314" s="21"/>
      <c r="CF314" s="21"/>
      <c r="CI314" s="23"/>
      <c r="CJ314" s="21"/>
      <c r="CK314" s="21"/>
      <c r="CL314" s="21"/>
      <c r="CM314" s="21"/>
      <c r="CQ314" s="21"/>
      <c r="CR314" s="21"/>
      <c r="CS314" s="21"/>
    </row>
    <row r="315" spans="11:97" ht="15.75">
      <c r="K315" s="25"/>
      <c r="M315" s="26"/>
      <c r="N315" s="25"/>
      <c r="P315" s="26"/>
      <c r="Q315" s="25"/>
      <c r="S315" s="26"/>
      <c r="T315" s="25"/>
      <c r="V315" s="26"/>
      <c r="W315" s="25"/>
      <c r="Y315" s="26"/>
      <c r="Z315" s="25"/>
      <c r="AB315" s="26"/>
      <c r="BN315" s="24"/>
      <c r="BO315" s="21"/>
      <c r="BP315" s="21"/>
      <c r="BQ315" s="21"/>
      <c r="BS315" s="22"/>
      <c r="BT315" s="21"/>
      <c r="BU315" s="21"/>
      <c r="CB315" s="21"/>
      <c r="CC315" s="21"/>
      <c r="CD315" s="21"/>
      <c r="CE315" s="21"/>
      <c r="CF315" s="21"/>
      <c r="CI315" s="23"/>
      <c r="CJ315" s="21"/>
      <c r="CK315" s="21"/>
      <c r="CL315" s="21"/>
      <c r="CM315" s="21"/>
      <c r="CQ315" s="21"/>
      <c r="CR315" s="21"/>
      <c r="CS315" s="21"/>
    </row>
    <row r="316" spans="11:97" ht="15.75">
      <c r="K316" s="25"/>
      <c r="M316" s="26"/>
      <c r="N316" s="25"/>
      <c r="P316" s="26"/>
      <c r="Q316" s="25"/>
      <c r="S316" s="26"/>
      <c r="T316" s="25"/>
      <c r="V316" s="26"/>
      <c r="W316" s="25"/>
      <c r="Y316" s="26"/>
      <c r="Z316" s="25"/>
      <c r="AB316" s="26"/>
      <c r="BN316" s="24"/>
      <c r="BO316" s="21"/>
      <c r="BP316" s="21"/>
      <c r="BQ316" s="21"/>
      <c r="BS316" s="22"/>
      <c r="BT316" s="21"/>
      <c r="BU316" s="21"/>
      <c r="CB316" s="21"/>
      <c r="CC316" s="21"/>
      <c r="CD316" s="21"/>
      <c r="CE316" s="21"/>
      <c r="CF316" s="21"/>
      <c r="CI316" s="23"/>
      <c r="CJ316" s="21"/>
      <c r="CK316" s="21"/>
      <c r="CL316" s="21"/>
      <c r="CM316" s="21"/>
      <c r="CQ316" s="21"/>
      <c r="CR316" s="21"/>
      <c r="CS316" s="21"/>
    </row>
    <row r="317" spans="11:97" ht="15.75">
      <c r="K317" s="25"/>
      <c r="M317" s="26"/>
      <c r="N317" s="25"/>
      <c r="P317" s="26"/>
      <c r="Q317" s="25"/>
      <c r="S317" s="26"/>
      <c r="T317" s="25"/>
      <c r="V317" s="26"/>
      <c r="W317" s="25"/>
      <c r="Y317" s="26"/>
      <c r="Z317" s="25"/>
      <c r="AB317" s="26"/>
      <c r="BN317" s="24"/>
      <c r="BO317" s="21"/>
      <c r="BP317" s="21"/>
      <c r="BQ317" s="21"/>
      <c r="BS317" s="22"/>
      <c r="BT317" s="21"/>
      <c r="BU317" s="21"/>
      <c r="CB317" s="21"/>
      <c r="CC317" s="21"/>
      <c r="CD317" s="21"/>
      <c r="CE317" s="21"/>
      <c r="CF317" s="21"/>
      <c r="CI317" s="23"/>
      <c r="CJ317" s="21"/>
      <c r="CK317" s="21"/>
      <c r="CL317" s="21"/>
      <c r="CM317" s="21"/>
      <c r="CQ317" s="21"/>
      <c r="CR317" s="21"/>
      <c r="CS317" s="21"/>
    </row>
    <row r="318" spans="11:97" ht="15.75">
      <c r="K318" s="25"/>
      <c r="M318" s="26"/>
      <c r="N318" s="25"/>
      <c r="P318" s="26"/>
      <c r="Q318" s="25"/>
      <c r="S318" s="26"/>
      <c r="T318" s="25"/>
      <c r="V318" s="26"/>
      <c r="W318" s="25"/>
      <c r="Y318" s="26"/>
      <c r="Z318" s="25"/>
      <c r="AB318" s="26"/>
      <c r="BN318" s="24"/>
      <c r="BO318" s="21"/>
      <c r="BP318" s="21"/>
      <c r="BQ318" s="21"/>
      <c r="BS318" s="22"/>
      <c r="BT318" s="21"/>
      <c r="BU318" s="21"/>
      <c r="CB318" s="21"/>
      <c r="CC318" s="21"/>
      <c r="CD318" s="21"/>
      <c r="CE318" s="21"/>
      <c r="CF318" s="21"/>
      <c r="CI318" s="23"/>
      <c r="CJ318" s="21"/>
      <c r="CK318" s="21"/>
      <c r="CL318" s="21"/>
      <c r="CM318" s="21"/>
      <c r="CQ318" s="21"/>
      <c r="CR318" s="21"/>
      <c r="CS318" s="21"/>
    </row>
    <row r="319" spans="11:97" ht="15.75">
      <c r="K319" s="25"/>
      <c r="M319" s="26"/>
      <c r="N319" s="25"/>
      <c r="P319" s="26"/>
      <c r="Q319" s="25"/>
      <c r="S319" s="26"/>
      <c r="T319" s="25"/>
      <c r="V319" s="26"/>
      <c r="W319" s="25"/>
      <c r="Y319" s="26"/>
      <c r="Z319" s="25"/>
      <c r="AB319" s="26"/>
      <c r="BN319" s="24"/>
      <c r="BO319" s="21"/>
      <c r="BP319" s="21"/>
      <c r="BQ319" s="21"/>
      <c r="BS319" s="22"/>
      <c r="BT319" s="21"/>
      <c r="BU319" s="21"/>
      <c r="CB319" s="21"/>
      <c r="CC319" s="21"/>
      <c r="CD319" s="21"/>
      <c r="CE319" s="21"/>
      <c r="CF319" s="21"/>
      <c r="CI319" s="23"/>
      <c r="CJ319" s="21"/>
      <c r="CK319" s="21"/>
      <c r="CL319" s="21"/>
      <c r="CM319" s="21"/>
      <c r="CQ319" s="21"/>
      <c r="CR319" s="21"/>
      <c r="CS319" s="21"/>
    </row>
    <row r="320" spans="11:97" ht="15.75">
      <c r="K320" s="25"/>
      <c r="M320" s="26"/>
      <c r="N320" s="25"/>
      <c r="P320" s="26"/>
      <c r="Q320" s="25"/>
      <c r="S320" s="26"/>
      <c r="T320" s="25"/>
      <c r="V320" s="26"/>
      <c r="W320" s="25"/>
      <c r="Y320" s="26"/>
      <c r="Z320" s="25"/>
      <c r="AB320" s="26"/>
      <c r="BN320" s="24"/>
      <c r="BO320" s="21"/>
      <c r="BP320" s="21"/>
      <c r="BQ320" s="21"/>
      <c r="BS320" s="22"/>
      <c r="BT320" s="21"/>
      <c r="BU320" s="21"/>
      <c r="CB320" s="21"/>
      <c r="CC320" s="21"/>
      <c r="CD320" s="21"/>
      <c r="CE320" s="21"/>
      <c r="CF320" s="21"/>
      <c r="CI320" s="23"/>
      <c r="CJ320" s="21"/>
      <c r="CK320" s="21"/>
      <c r="CL320" s="21"/>
      <c r="CM320" s="21"/>
      <c r="CQ320" s="21"/>
      <c r="CR320" s="21"/>
      <c r="CS320" s="21"/>
    </row>
    <row r="321" spans="11:97" ht="15.75">
      <c r="K321" s="25"/>
      <c r="M321" s="26"/>
      <c r="N321" s="25"/>
      <c r="P321" s="26"/>
      <c r="Q321" s="25"/>
      <c r="S321" s="26"/>
      <c r="T321" s="25"/>
      <c r="V321" s="26"/>
      <c r="W321" s="25"/>
      <c r="Y321" s="26"/>
      <c r="Z321" s="25"/>
      <c r="AB321" s="26"/>
      <c r="BN321" s="24"/>
      <c r="BO321" s="21"/>
      <c r="BP321" s="21"/>
      <c r="BQ321" s="21"/>
      <c r="BS321" s="22"/>
      <c r="BT321" s="21"/>
      <c r="BU321" s="21"/>
      <c r="CB321" s="21"/>
      <c r="CC321" s="21"/>
      <c r="CD321" s="21"/>
      <c r="CE321" s="21"/>
      <c r="CF321" s="21"/>
      <c r="CI321" s="23"/>
      <c r="CJ321" s="21"/>
      <c r="CK321" s="21"/>
      <c r="CL321" s="21"/>
      <c r="CM321" s="21"/>
      <c r="CQ321" s="21"/>
      <c r="CR321" s="21"/>
      <c r="CS321" s="21"/>
    </row>
    <row r="322" spans="11:97" ht="15.75">
      <c r="K322" s="25"/>
      <c r="M322" s="26"/>
      <c r="N322" s="25"/>
      <c r="P322" s="26"/>
      <c r="Q322" s="25"/>
      <c r="S322" s="26"/>
      <c r="T322" s="25"/>
      <c r="V322" s="26"/>
      <c r="W322" s="25"/>
      <c r="Y322" s="26"/>
      <c r="Z322" s="25"/>
      <c r="AB322" s="26"/>
      <c r="BN322" s="24"/>
      <c r="BO322" s="21"/>
      <c r="BP322" s="21"/>
      <c r="BQ322" s="21"/>
      <c r="BS322" s="22"/>
      <c r="BT322" s="21"/>
      <c r="BU322" s="21"/>
      <c r="CB322" s="21"/>
      <c r="CC322" s="21"/>
      <c r="CD322" s="21"/>
      <c r="CE322" s="21"/>
      <c r="CF322" s="21"/>
      <c r="CI322" s="23"/>
      <c r="CJ322" s="21"/>
      <c r="CK322" s="21"/>
      <c r="CL322" s="21"/>
      <c r="CM322" s="21"/>
      <c r="CQ322" s="21"/>
      <c r="CR322" s="21"/>
      <c r="CS322" s="21"/>
    </row>
    <row r="323" spans="11:97" ht="15.75">
      <c r="K323" s="25"/>
      <c r="M323" s="26"/>
      <c r="N323" s="25"/>
      <c r="P323" s="26"/>
      <c r="Q323" s="25"/>
      <c r="S323" s="26"/>
      <c r="T323" s="25"/>
      <c r="V323" s="26"/>
      <c r="W323" s="25"/>
      <c r="Y323" s="26"/>
      <c r="Z323" s="25"/>
      <c r="AB323" s="26"/>
      <c r="BN323" s="24"/>
      <c r="BO323" s="21"/>
      <c r="BP323" s="21"/>
      <c r="BQ323" s="21"/>
      <c r="BS323" s="22"/>
      <c r="BT323" s="21"/>
      <c r="BU323" s="21"/>
      <c r="CB323" s="21"/>
      <c r="CC323" s="21"/>
      <c r="CD323" s="21"/>
      <c r="CE323" s="21"/>
      <c r="CF323" s="21"/>
      <c r="CI323" s="23"/>
      <c r="CJ323" s="21"/>
      <c r="CK323" s="21"/>
      <c r="CL323" s="21"/>
      <c r="CM323" s="21"/>
      <c r="CQ323" s="21"/>
      <c r="CR323" s="21"/>
      <c r="CS323" s="21"/>
    </row>
    <row r="324" spans="11:97" ht="15.75">
      <c r="K324" s="25"/>
      <c r="M324" s="26"/>
      <c r="N324" s="25"/>
      <c r="P324" s="26"/>
      <c r="Q324" s="25"/>
      <c r="S324" s="26"/>
      <c r="T324" s="25"/>
      <c r="V324" s="26"/>
      <c r="W324" s="25"/>
      <c r="Y324" s="26"/>
      <c r="Z324" s="25"/>
      <c r="AB324" s="26"/>
      <c r="BN324" s="24"/>
      <c r="BO324" s="21"/>
      <c r="BP324" s="21"/>
      <c r="BQ324" s="21"/>
      <c r="BS324" s="22"/>
      <c r="BT324" s="21"/>
      <c r="BU324" s="21"/>
      <c r="CB324" s="21"/>
      <c r="CC324" s="21"/>
      <c r="CD324" s="21"/>
      <c r="CE324" s="21"/>
      <c r="CF324" s="21"/>
      <c r="CI324" s="23"/>
      <c r="CJ324" s="21"/>
      <c r="CK324" s="21"/>
      <c r="CL324" s="21"/>
      <c r="CM324" s="21"/>
      <c r="CQ324" s="21"/>
      <c r="CR324" s="21"/>
      <c r="CS324" s="21"/>
    </row>
    <row r="325" spans="11:97" ht="15.75">
      <c r="K325" s="25"/>
      <c r="M325" s="26"/>
      <c r="N325" s="25"/>
      <c r="P325" s="26"/>
      <c r="Q325" s="25"/>
      <c r="S325" s="26"/>
      <c r="T325" s="25"/>
      <c r="V325" s="26"/>
      <c r="W325" s="25"/>
      <c r="Y325" s="26"/>
      <c r="Z325" s="25"/>
      <c r="AB325" s="26"/>
      <c r="BN325" s="24"/>
      <c r="BO325" s="21"/>
      <c r="BP325" s="21"/>
      <c r="BQ325" s="21"/>
      <c r="BS325" s="22"/>
      <c r="BT325" s="21"/>
      <c r="BU325" s="21"/>
      <c r="CB325" s="21"/>
      <c r="CC325" s="21"/>
      <c r="CD325" s="21"/>
      <c r="CE325" s="21"/>
      <c r="CF325" s="21"/>
      <c r="CI325" s="23"/>
      <c r="CJ325" s="21"/>
      <c r="CK325" s="21"/>
      <c r="CL325" s="21"/>
      <c r="CM325" s="21"/>
      <c r="CQ325" s="21"/>
      <c r="CR325" s="21"/>
      <c r="CS325" s="21"/>
    </row>
    <row r="326" spans="11:97" ht="15.75">
      <c r="K326" s="25"/>
      <c r="M326" s="26"/>
      <c r="N326" s="25"/>
      <c r="P326" s="26"/>
      <c r="Q326" s="25"/>
      <c r="S326" s="26"/>
      <c r="T326" s="25"/>
      <c r="V326" s="26"/>
      <c r="W326" s="25"/>
      <c r="Y326" s="26"/>
      <c r="Z326" s="25"/>
      <c r="AB326" s="26"/>
      <c r="BN326" s="24"/>
      <c r="BO326" s="21"/>
      <c r="BP326" s="21"/>
      <c r="BQ326" s="21"/>
      <c r="BS326" s="22"/>
      <c r="BT326" s="21"/>
      <c r="BU326" s="21"/>
      <c r="CB326" s="21"/>
      <c r="CC326" s="21"/>
      <c r="CD326" s="21"/>
      <c r="CE326" s="21"/>
      <c r="CF326" s="21"/>
      <c r="CI326" s="23"/>
      <c r="CJ326" s="21"/>
      <c r="CK326" s="21"/>
      <c r="CL326" s="21"/>
      <c r="CM326" s="21"/>
      <c r="CQ326" s="21"/>
      <c r="CR326" s="21"/>
      <c r="CS326" s="21"/>
    </row>
    <row r="327" spans="11:97" ht="15.75">
      <c r="K327" s="25"/>
      <c r="M327" s="26"/>
      <c r="N327" s="25"/>
      <c r="P327" s="26"/>
      <c r="Q327" s="25"/>
      <c r="S327" s="26"/>
      <c r="T327" s="25"/>
      <c r="V327" s="26"/>
      <c r="W327" s="25"/>
      <c r="Y327" s="26"/>
      <c r="Z327" s="25"/>
      <c r="AB327" s="26"/>
      <c r="BN327" s="24"/>
      <c r="BO327" s="21"/>
      <c r="BP327" s="21"/>
      <c r="BQ327" s="21"/>
      <c r="BS327" s="22"/>
      <c r="BT327" s="21"/>
      <c r="BU327" s="21"/>
      <c r="CB327" s="21"/>
      <c r="CC327" s="21"/>
      <c r="CD327" s="21"/>
      <c r="CE327" s="21"/>
      <c r="CF327" s="21"/>
      <c r="CI327" s="23"/>
      <c r="CJ327" s="21"/>
      <c r="CK327" s="21"/>
      <c r="CL327" s="21"/>
      <c r="CM327" s="21"/>
      <c r="CQ327" s="21"/>
      <c r="CR327" s="21"/>
      <c r="CS327" s="21"/>
    </row>
    <row r="328" spans="11:97" ht="15.75">
      <c r="K328" s="25"/>
      <c r="M328" s="26"/>
      <c r="N328" s="25"/>
      <c r="P328" s="26"/>
      <c r="Q328" s="25"/>
      <c r="S328" s="26"/>
      <c r="T328" s="25"/>
      <c r="V328" s="26"/>
      <c r="W328" s="25"/>
      <c r="Y328" s="26"/>
      <c r="Z328" s="25"/>
      <c r="AB328" s="26"/>
      <c r="BN328" s="24"/>
      <c r="BO328" s="21"/>
      <c r="BP328" s="21"/>
      <c r="BQ328" s="21"/>
      <c r="BS328" s="22"/>
      <c r="BT328" s="21"/>
      <c r="BU328" s="21"/>
      <c r="CB328" s="21"/>
      <c r="CC328" s="21"/>
      <c r="CD328" s="21"/>
      <c r="CE328" s="21"/>
      <c r="CF328" s="21"/>
      <c r="CI328" s="23"/>
      <c r="CJ328" s="21"/>
      <c r="CK328" s="21"/>
      <c r="CL328" s="21"/>
      <c r="CM328" s="21"/>
      <c r="CQ328" s="21"/>
      <c r="CR328" s="21"/>
      <c r="CS328" s="21"/>
    </row>
    <row r="329" spans="11:97" ht="15.75">
      <c r="K329" s="25"/>
      <c r="M329" s="26"/>
      <c r="N329" s="25"/>
      <c r="P329" s="26"/>
      <c r="Q329" s="25"/>
      <c r="S329" s="26"/>
      <c r="T329" s="25"/>
      <c r="V329" s="26"/>
      <c r="W329" s="25"/>
      <c r="Y329" s="26"/>
      <c r="Z329" s="25"/>
      <c r="AB329" s="26"/>
      <c r="BN329" s="24"/>
      <c r="BO329" s="21"/>
      <c r="BP329" s="21"/>
      <c r="BQ329" s="21"/>
      <c r="BS329" s="22"/>
      <c r="BT329" s="21"/>
      <c r="BU329" s="21"/>
      <c r="CB329" s="21"/>
      <c r="CC329" s="21"/>
      <c r="CD329" s="21"/>
      <c r="CE329" s="21"/>
      <c r="CF329" s="21"/>
      <c r="CI329" s="23"/>
      <c r="CJ329" s="21"/>
      <c r="CK329" s="21"/>
      <c r="CL329" s="21"/>
      <c r="CM329" s="21"/>
      <c r="CQ329" s="21"/>
      <c r="CR329" s="21"/>
      <c r="CS329" s="21"/>
    </row>
    <row r="330" spans="11:97" ht="15.75">
      <c r="K330" s="25"/>
      <c r="M330" s="26"/>
      <c r="N330" s="25"/>
      <c r="P330" s="26"/>
      <c r="Q330" s="25"/>
      <c r="S330" s="26"/>
      <c r="T330" s="25"/>
      <c r="V330" s="26"/>
      <c r="W330" s="25"/>
      <c r="Y330" s="26"/>
      <c r="Z330" s="25"/>
      <c r="AB330" s="26"/>
      <c r="BN330" s="24"/>
      <c r="BO330" s="21"/>
      <c r="BP330" s="21"/>
      <c r="BQ330" s="21"/>
      <c r="BS330" s="22"/>
      <c r="BT330" s="21"/>
      <c r="BU330" s="21"/>
      <c r="CB330" s="21"/>
      <c r="CC330" s="21"/>
      <c r="CD330" s="21"/>
      <c r="CE330" s="21"/>
      <c r="CF330" s="21"/>
      <c r="CI330" s="23"/>
      <c r="CJ330" s="21"/>
      <c r="CK330" s="21"/>
      <c r="CL330" s="21"/>
      <c r="CM330" s="21"/>
      <c r="CQ330" s="21"/>
      <c r="CR330" s="21"/>
      <c r="CS330" s="21"/>
    </row>
    <row r="331" spans="11:97" ht="15.75">
      <c r="K331" s="25"/>
      <c r="M331" s="26"/>
      <c r="N331" s="25"/>
      <c r="P331" s="26"/>
      <c r="Q331" s="25"/>
      <c r="S331" s="26"/>
      <c r="T331" s="25"/>
      <c r="V331" s="26"/>
      <c r="W331" s="25"/>
      <c r="Y331" s="26"/>
      <c r="Z331" s="25"/>
      <c r="AB331" s="26"/>
      <c r="BN331" s="24"/>
      <c r="BO331" s="21"/>
      <c r="BP331" s="21"/>
      <c r="BQ331" s="21"/>
      <c r="BS331" s="22"/>
      <c r="BT331" s="21"/>
      <c r="BU331" s="21"/>
      <c r="CB331" s="21"/>
      <c r="CC331" s="21"/>
      <c r="CD331" s="21"/>
      <c r="CE331" s="21"/>
      <c r="CF331" s="21"/>
      <c r="CI331" s="23"/>
      <c r="CJ331" s="21"/>
      <c r="CK331" s="21"/>
      <c r="CL331" s="21"/>
      <c r="CM331" s="21"/>
      <c r="CQ331" s="21"/>
      <c r="CR331" s="21"/>
      <c r="CS331" s="21"/>
    </row>
    <row r="332" spans="11:97" ht="15.75">
      <c r="K332" s="25"/>
      <c r="M332" s="26"/>
      <c r="N332" s="25"/>
      <c r="P332" s="26"/>
      <c r="Q332" s="25"/>
      <c r="S332" s="26"/>
      <c r="T332" s="25"/>
      <c r="V332" s="26"/>
      <c r="W332" s="25"/>
      <c r="Y332" s="26"/>
      <c r="Z332" s="25"/>
      <c r="AB332" s="26"/>
      <c r="BN332" s="24"/>
      <c r="BO332" s="21"/>
      <c r="BP332" s="21"/>
      <c r="BQ332" s="21"/>
      <c r="BS332" s="22"/>
      <c r="BT332" s="21"/>
      <c r="BU332" s="21"/>
      <c r="CB332" s="21"/>
      <c r="CC332" s="21"/>
      <c r="CD332" s="21"/>
      <c r="CE332" s="21"/>
      <c r="CF332" s="21"/>
      <c r="CI332" s="23"/>
      <c r="CJ332" s="21"/>
      <c r="CK332" s="21"/>
      <c r="CL332" s="21"/>
      <c r="CM332" s="21"/>
      <c r="CQ332" s="21"/>
      <c r="CR332" s="21"/>
      <c r="CS332" s="21"/>
    </row>
    <row r="333" spans="11:97" ht="15.75">
      <c r="K333" s="25"/>
      <c r="M333" s="26"/>
      <c r="N333" s="25"/>
      <c r="P333" s="26"/>
      <c r="Q333" s="25"/>
      <c r="S333" s="26"/>
      <c r="T333" s="25"/>
      <c r="V333" s="26"/>
      <c r="W333" s="25"/>
      <c r="Y333" s="26"/>
      <c r="Z333" s="25"/>
      <c r="AB333" s="26"/>
      <c r="BN333" s="24"/>
      <c r="BO333" s="21"/>
      <c r="BP333" s="21"/>
      <c r="BQ333" s="21"/>
      <c r="BS333" s="22"/>
      <c r="BT333" s="21"/>
      <c r="BU333" s="21"/>
      <c r="CB333" s="21"/>
      <c r="CC333" s="21"/>
      <c r="CD333" s="21"/>
      <c r="CE333" s="21"/>
      <c r="CF333" s="21"/>
      <c r="CI333" s="23"/>
      <c r="CJ333" s="21"/>
      <c r="CK333" s="21"/>
      <c r="CL333" s="21"/>
      <c r="CM333" s="21"/>
      <c r="CQ333" s="21"/>
      <c r="CR333" s="21"/>
      <c r="CS333" s="21"/>
    </row>
    <row r="334" spans="11:97" ht="15.75">
      <c r="K334" s="25"/>
      <c r="M334" s="26"/>
      <c r="N334" s="25"/>
      <c r="P334" s="26"/>
      <c r="Q334" s="25"/>
      <c r="S334" s="26"/>
      <c r="T334" s="25"/>
      <c r="V334" s="26"/>
      <c r="W334" s="25"/>
      <c r="Y334" s="26"/>
      <c r="Z334" s="25"/>
      <c r="AB334" s="26"/>
      <c r="BN334" s="24"/>
      <c r="BO334" s="21"/>
      <c r="BP334" s="21"/>
      <c r="BQ334" s="21"/>
      <c r="BS334" s="22"/>
      <c r="BT334" s="21"/>
      <c r="BU334" s="21"/>
      <c r="CB334" s="21"/>
      <c r="CC334" s="21"/>
      <c r="CD334" s="21"/>
      <c r="CE334" s="21"/>
      <c r="CF334" s="21"/>
      <c r="CI334" s="23"/>
      <c r="CJ334" s="21"/>
      <c r="CK334" s="21"/>
      <c r="CL334" s="21"/>
      <c r="CM334" s="21"/>
      <c r="CQ334" s="21"/>
      <c r="CR334" s="21"/>
      <c r="CS334" s="21"/>
    </row>
    <row r="335" spans="11:97" ht="15.75">
      <c r="K335" s="25"/>
      <c r="M335" s="26"/>
      <c r="N335" s="25"/>
      <c r="P335" s="26"/>
      <c r="Q335" s="25"/>
      <c r="S335" s="26"/>
      <c r="T335" s="25"/>
      <c r="V335" s="26"/>
      <c r="W335" s="25"/>
      <c r="Y335" s="26"/>
      <c r="Z335" s="25"/>
      <c r="AB335" s="26"/>
      <c r="BN335" s="24"/>
      <c r="BO335" s="21"/>
      <c r="BP335" s="21"/>
      <c r="BQ335" s="21"/>
      <c r="BS335" s="22"/>
      <c r="BT335" s="21"/>
      <c r="BU335" s="21"/>
      <c r="CB335" s="21"/>
      <c r="CC335" s="21"/>
      <c r="CD335" s="21"/>
      <c r="CE335" s="21"/>
      <c r="CF335" s="21"/>
      <c r="CI335" s="23"/>
      <c r="CJ335" s="21"/>
      <c r="CK335" s="21"/>
      <c r="CL335" s="21"/>
      <c r="CM335" s="21"/>
      <c r="CQ335" s="21"/>
      <c r="CR335" s="21"/>
      <c r="CS335" s="21"/>
    </row>
    <row r="336" spans="11:97" ht="15.75">
      <c r="K336" s="25"/>
      <c r="M336" s="26"/>
      <c r="N336" s="25"/>
      <c r="P336" s="26"/>
      <c r="Q336" s="25"/>
      <c r="S336" s="26"/>
      <c r="T336" s="25"/>
      <c r="V336" s="26"/>
      <c r="W336" s="25"/>
      <c r="Y336" s="26"/>
      <c r="Z336" s="25"/>
      <c r="AB336" s="26"/>
      <c r="BN336" s="24"/>
      <c r="BO336" s="21"/>
      <c r="BP336" s="21"/>
      <c r="BQ336" s="21"/>
      <c r="BS336" s="22"/>
      <c r="BT336" s="21"/>
      <c r="BU336" s="21"/>
      <c r="CB336" s="21"/>
      <c r="CC336" s="21"/>
      <c r="CD336" s="21"/>
      <c r="CE336" s="21"/>
      <c r="CF336" s="21"/>
      <c r="CI336" s="23"/>
      <c r="CJ336" s="21"/>
      <c r="CK336" s="21"/>
      <c r="CL336" s="21"/>
      <c r="CM336" s="21"/>
      <c r="CQ336" s="21"/>
      <c r="CR336" s="21"/>
      <c r="CS336" s="21"/>
    </row>
    <row r="337" spans="3:97" ht="15.75">
      <c r="K337" s="25"/>
      <c r="M337" s="26"/>
      <c r="N337" s="25"/>
      <c r="P337" s="26"/>
      <c r="Q337" s="25"/>
      <c r="S337" s="26"/>
      <c r="T337" s="25"/>
      <c r="V337" s="26"/>
      <c r="W337" s="25"/>
      <c r="Y337" s="26"/>
      <c r="Z337" s="25"/>
      <c r="AB337" s="26"/>
      <c r="BN337" s="24"/>
      <c r="BO337" s="21"/>
      <c r="BP337" s="21"/>
      <c r="BQ337" s="21"/>
      <c r="BS337" s="22"/>
      <c r="BT337" s="21"/>
      <c r="BU337" s="21"/>
      <c r="CB337" s="21"/>
      <c r="CC337" s="21"/>
      <c r="CD337" s="21"/>
      <c r="CE337" s="21"/>
      <c r="CF337" s="21"/>
      <c r="CI337" s="23"/>
      <c r="CJ337" s="21"/>
      <c r="CK337" s="21"/>
      <c r="CL337" s="21"/>
      <c r="CM337" s="21"/>
      <c r="CQ337" s="21"/>
      <c r="CR337" s="21"/>
      <c r="CS337" s="21"/>
    </row>
    <row r="338" spans="3:97" ht="15.75">
      <c r="K338" s="25"/>
      <c r="M338" s="26"/>
      <c r="N338" s="25"/>
      <c r="P338" s="26"/>
      <c r="Q338" s="25"/>
      <c r="S338" s="26"/>
      <c r="T338" s="25"/>
      <c r="V338" s="26"/>
      <c r="W338" s="25"/>
      <c r="Y338" s="26"/>
      <c r="Z338" s="25"/>
      <c r="AB338" s="26"/>
      <c r="BN338" s="24"/>
      <c r="BO338" s="21"/>
      <c r="BP338" s="21"/>
      <c r="BQ338" s="21"/>
      <c r="BS338" s="22"/>
      <c r="BT338" s="21"/>
      <c r="BU338" s="21"/>
      <c r="CB338" s="21"/>
      <c r="CC338" s="21"/>
      <c r="CD338" s="21"/>
      <c r="CE338" s="21"/>
      <c r="CF338" s="21"/>
      <c r="CI338" s="23"/>
      <c r="CJ338" s="21"/>
      <c r="CK338" s="21"/>
      <c r="CL338" s="21"/>
      <c r="CM338" s="21"/>
      <c r="CQ338" s="21"/>
      <c r="CR338" s="21"/>
      <c r="CS338" s="21"/>
    </row>
    <row r="339" spans="3:97" ht="15.75">
      <c r="K339" s="25"/>
      <c r="M339" s="26"/>
      <c r="N339" s="25"/>
      <c r="P339" s="26"/>
      <c r="Q339" s="25"/>
      <c r="S339" s="26"/>
      <c r="T339" s="25"/>
      <c r="V339" s="26"/>
      <c r="W339" s="25"/>
      <c r="Y339" s="26"/>
      <c r="Z339" s="25"/>
      <c r="AB339" s="26"/>
      <c r="BN339" s="24"/>
      <c r="BO339" s="21"/>
      <c r="BP339" s="21"/>
      <c r="BQ339" s="21"/>
      <c r="BS339" s="22"/>
      <c r="BT339" s="21"/>
      <c r="BU339" s="21"/>
      <c r="CB339" s="21"/>
      <c r="CC339" s="21"/>
      <c r="CD339" s="21"/>
      <c r="CE339" s="21"/>
      <c r="CF339" s="21"/>
      <c r="CI339" s="23"/>
      <c r="CJ339" s="21"/>
      <c r="CK339" s="21"/>
      <c r="CL339" s="21"/>
      <c r="CM339" s="21"/>
      <c r="CQ339" s="21"/>
      <c r="CR339" s="21"/>
      <c r="CS339" s="21"/>
    </row>
    <row r="340" spans="3:97" ht="15.75">
      <c r="K340" s="25"/>
      <c r="M340" s="26"/>
      <c r="N340" s="25"/>
      <c r="P340" s="26"/>
      <c r="Q340" s="25"/>
      <c r="S340" s="26"/>
      <c r="T340" s="25"/>
      <c r="V340" s="26"/>
      <c r="W340" s="25"/>
      <c r="Y340" s="26"/>
      <c r="Z340" s="25"/>
      <c r="AB340" s="26"/>
      <c r="BN340" s="24"/>
      <c r="BO340" s="21"/>
      <c r="BP340" s="21"/>
      <c r="BQ340" s="21"/>
      <c r="BS340" s="22"/>
      <c r="BT340" s="21"/>
      <c r="BU340" s="21"/>
      <c r="CB340" s="21"/>
      <c r="CC340" s="21"/>
      <c r="CD340" s="21"/>
      <c r="CE340" s="21"/>
      <c r="CF340" s="21"/>
      <c r="CI340" s="23"/>
      <c r="CJ340" s="21"/>
      <c r="CK340" s="21"/>
      <c r="CL340" s="21"/>
      <c r="CM340" s="21"/>
      <c r="CQ340" s="21"/>
      <c r="CR340" s="21"/>
      <c r="CS340" s="21"/>
    </row>
    <row r="341" spans="3:97" ht="15.75">
      <c r="K341" s="25"/>
      <c r="M341" s="26"/>
      <c r="N341" s="25"/>
      <c r="P341" s="26"/>
      <c r="Q341" s="25"/>
      <c r="S341" s="26"/>
      <c r="T341" s="25"/>
      <c r="V341" s="26"/>
      <c r="W341" s="25"/>
      <c r="Y341" s="26"/>
      <c r="Z341" s="25"/>
      <c r="AB341" s="26"/>
      <c r="BN341" s="24"/>
      <c r="BO341" s="21"/>
      <c r="BP341" s="21"/>
      <c r="BQ341" s="21"/>
      <c r="BS341" s="22"/>
      <c r="BT341" s="21"/>
      <c r="BU341" s="21"/>
      <c r="CB341" s="21"/>
      <c r="CC341" s="21"/>
      <c r="CD341" s="21"/>
      <c r="CE341" s="21"/>
      <c r="CF341" s="21"/>
      <c r="CI341" s="23"/>
      <c r="CJ341" s="21"/>
      <c r="CK341" s="21"/>
      <c r="CL341" s="21"/>
      <c r="CM341" s="21"/>
      <c r="CQ341" s="21"/>
      <c r="CR341" s="21"/>
      <c r="CS341" s="21"/>
    </row>
    <row r="342" spans="3:97" ht="15.75">
      <c r="K342" s="25"/>
      <c r="M342" s="26"/>
      <c r="N342" s="25"/>
      <c r="P342" s="26"/>
      <c r="Q342" s="25"/>
      <c r="S342" s="26"/>
      <c r="T342" s="25"/>
      <c r="V342" s="26"/>
      <c r="W342" s="25"/>
      <c r="Y342" s="26"/>
      <c r="Z342" s="25"/>
      <c r="AB342" s="26"/>
      <c r="BN342" s="24"/>
      <c r="BO342" s="21"/>
      <c r="BP342" s="21"/>
      <c r="BQ342" s="21"/>
      <c r="BS342" s="22"/>
      <c r="BT342" s="21"/>
      <c r="BU342" s="21"/>
      <c r="CB342" s="21"/>
      <c r="CC342" s="21"/>
      <c r="CD342" s="21"/>
      <c r="CE342" s="21"/>
      <c r="CF342" s="21"/>
      <c r="CI342" s="23"/>
      <c r="CJ342" s="21"/>
      <c r="CK342" s="21"/>
      <c r="CL342" s="21"/>
      <c r="CM342" s="21"/>
      <c r="CQ342" s="21"/>
      <c r="CR342" s="21"/>
      <c r="CS342" s="21"/>
    </row>
    <row r="343" spans="3:97" ht="15.75">
      <c r="K343" s="25"/>
      <c r="M343" s="26"/>
      <c r="N343" s="25"/>
      <c r="P343" s="26"/>
      <c r="Q343" s="25"/>
      <c r="S343" s="26"/>
      <c r="T343" s="25"/>
      <c r="V343" s="26"/>
      <c r="W343" s="25"/>
      <c r="Y343" s="26"/>
      <c r="Z343" s="25"/>
      <c r="AB343" s="26"/>
      <c r="BN343" s="24"/>
      <c r="BO343" s="21"/>
      <c r="BP343" s="21"/>
      <c r="BQ343" s="21"/>
      <c r="BS343" s="22"/>
      <c r="BT343" s="21"/>
      <c r="BU343" s="21"/>
      <c r="CB343" s="21"/>
      <c r="CC343" s="21"/>
      <c r="CD343" s="21"/>
      <c r="CE343" s="21"/>
      <c r="CF343" s="21"/>
      <c r="CI343" s="23"/>
      <c r="CJ343" s="21"/>
      <c r="CK343" s="21"/>
      <c r="CL343" s="21"/>
      <c r="CM343" s="21"/>
      <c r="CQ343" s="21"/>
      <c r="CR343" s="21"/>
      <c r="CS343" s="21"/>
    </row>
    <row r="344" spans="3:97" ht="15.75">
      <c r="C344" s="18"/>
      <c r="D344" s="18"/>
      <c r="E344" s="18"/>
      <c r="K344" s="25"/>
      <c r="M344" s="26"/>
      <c r="N344" s="25"/>
      <c r="P344" s="26"/>
      <c r="Q344" s="25"/>
      <c r="S344" s="26"/>
      <c r="T344" s="25"/>
      <c r="V344" s="26"/>
      <c r="W344" s="25"/>
      <c r="Y344" s="26"/>
      <c r="Z344" s="25"/>
      <c r="AB344" s="26"/>
      <c r="BN344" s="20"/>
      <c r="BO344" s="21"/>
      <c r="BP344" s="21"/>
      <c r="BQ344" s="21"/>
      <c r="BS344" s="22"/>
      <c r="BT344" s="21"/>
      <c r="BU344" s="21"/>
      <c r="CB344" s="21"/>
      <c r="CC344" s="21"/>
      <c r="CD344" s="21"/>
      <c r="CE344" s="21"/>
      <c r="CF344" s="21"/>
      <c r="CI344" s="23"/>
      <c r="CJ344" s="21"/>
      <c r="CK344" s="21"/>
      <c r="CL344" s="21"/>
      <c r="CM344" s="21"/>
      <c r="CQ344" s="21"/>
      <c r="CR344" s="21"/>
      <c r="CS344" s="21"/>
    </row>
    <row r="345" spans="3:97" ht="15.75">
      <c r="K345" s="25"/>
      <c r="M345" s="26"/>
      <c r="N345" s="25"/>
      <c r="P345" s="26"/>
      <c r="Q345" s="25"/>
      <c r="S345" s="26"/>
      <c r="T345" s="25"/>
      <c r="V345" s="26"/>
      <c r="W345" s="25"/>
      <c r="Y345" s="26"/>
      <c r="Z345" s="25"/>
      <c r="AB345" s="26"/>
      <c r="BN345" s="24"/>
      <c r="BO345" s="21"/>
      <c r="BP345" s="21"/>
      <c r="BQ345" s="21"/>
      <c r="BS345" s="22"/>
      <c r="BT345" s="21"/>
      <c r="BU345" s="21"/>
      <c r="CB345" s="21"/>
      <c r="CC345" s="21"/>
      <c r="CD345" s="21"/>
      <c r="CE345" s="21"/>
      <c r="CF345" s="21"/>
      <c r="CI345" s="23"/>
      <c r="CJ345" s="21"/>
      <c r="CK345" s="21"/>
      <c r="CL345" s="21"/>
      <c r="CM345" s="21"/>
      <c r="CQ345" s="21"/>
      <c r="CR345" s="21"/>
      <c r="CS345" s="21"/>
    </row>
    <row r="346" spans="3:97" ht="15.75">
      <c r="K346" s="25"/>
      <c r="M346" s="26"/>
      <c r="N346" s="25"/>
      <c r="P346" s="26"/>
      <c r="Q346" s="25"/>
      <c r="S346" s="26"/>
      <c r="T346" s="25"/>
      <c r="V346" s="26"/>
      <c r="W346" s="25"/>
      <c r="Y346" s="26"/>
      <c r="Z346" s="25"/>
      <c r="AB346" s="26"/>
      <c r="BN346" s="24"/>
      <c r="BO346" s="21"/>
      <c r="BP346" s="21"/>
      <c r="BQ346" s="21"/>
      <c r="BS346" s="22"/>
      <c r="BT346" s="21"/>
      <c r="BU346" s="21"/>
      <c r="CB346" s="21"/>
      <c r="CC346" s="21"/>
      <c r="CD346" s="21"/>
      <c r="CE346" s="21"/>
      <c r="CF346" s="21"/>
      <c r="CI346" s="23"/>
      <c r="CJ346" s="21"/>
      <c r="CK346" s="21"/>
      <c r="CL346" s="21"/>
      <c r="CM346" s="21"/>
      <c r="CQ346" s="21"/>
      <c r="CR346" s="21"/>
      <c r="CS346" s="21"/>
    </row>
    <row r="347" spans="3:97" ht="15.75">
      <c r="K347" s="25"/>
      <c r="M347" s="26"/>
      <c r="N347" s="25"/>
      <c r="P347" s="26"/>
      <c r="Q347" s="25"/>
      <c r="S347" s="26"/>
      <c r="T347" s="25"/>
      <c r="V347" s="26"/>
      <c r="W347" s="25"/>
      <c r="Y347" s="26"/>
      <c r="Z347" s="25"/>
      <c r="AB347" s="26"/>
      <c r="BN347" s="24"/>
      <c r="BO347" s="21"/>
      <c r="BP347" s="21"/>
      <c r="BQ347" s="21"/>
      <c r="BS347" s="22"/>
      <c r="BT347" s="21"/>
      <c r="BU347" s="21"/>
      <c r="CB347" s="21"/>
      <c r="CC347" s="21"/>
      <c r="CD347" s="21"/>
      <c r="CE347" s="21"/>
      <c r="CF347" s="21"/>
      <c r="CI347" s="23"/>
      <c r="CJ347" s="21"/>
      <c r="CK347" s="21"/>
      <c r="CL347" s="21"/>
      <c r="CM347" s="21"/>
      <c r="CQ347" s="21"/>
      <c r="CR347" s="21"/>
      <c r="CS347" s="21"/>
    </row>
    <row r="348" spans="3:97" ht="15.75">
      <c r="K348" s="25"/>
      <c r="M348" s="26"/>
      <c r="N348" s="25"/>
      <c r="P348" s="26"/>
      <c r="Q348" s="25"/>
      <c r="S348" s="26"/>
      <c r="T348" s="25"/>
      <c r="V348" s="26"/>
      <c r="W348" s="25"/>
      <c r="Y348" s="26"/>
      <c r="Z348" s="25"/>
      <c r="AB348" s="26"/>
      <c r="BN348" s="24"/>
      <c r="BO348" s="21"/>
      <c r="BP348" s="21"/>
      <c r="BQ348" s="21"/>
      <c r="BS348" s="22"/>
      <c r="BT348" s="21"/>
      <c r="BU348" s="21"/>
      <c r="CB348" s="21"/>
      <c r="CC348" s="21"/>
      <c r="CD348" s="21"/>
      <c r="CE348" s="21"/>
      <c r="CF348" s="21"/>
      <c r="CI348" s="23"/>
      <c r="CJ348" s="21"/>
      <c r="CK348" s="21"/>
      <c r="CL348" s="21"/>
      <c r="CM348" s="21"/>
      <c r="CQ348" s="21"/>
      <c r="CR348" s="21"/>
      <c r="CS348" s="21"/>
    </row>
    <row r="349" spans="3:97" ht="15.75">
      <c r="K349" s="25"/>
      <c r="M349" s="26"/>
      <c r="N349" s="25"/>
      <c r="P349" s="26"/>
      <c r="Q349" s="25"/>
      <c r="S349" s="26"/>
      <c r="T349" s="25"/>
      <c r="V349" s="26"/>
      <c r="W349" s="25"/>
      <c r="Y349" s="26"/>
      <c r="Z349" s="25"/>
      <c r="AB349" s="26"/>
      <c r="BN349" s="24"/>
      <c r="BO349" s="21"/>
      <c r="BP349" s="21"/>
      <c r="BQ349" s="21"/>
      <c r="BS349" s="22"/>
      <c r="BT349" s="21"/>
      <c r="BU349" s="21"/>
      <c r="CB349" s="21"/>
      <c r="CC349" s="21"/>
      <c r="CD349" s="21"/>
      <c r="CE349" s="21"/>
      <c r="CF349" s="21"/>
      <c r="CI349" s="23"/>
      <c r="CJ349" s="21"/>
      <c r="CK349" s="21"/>
      <c r="CL349" s="21"/>
      <c r="CM349" s="21"/>
      <c r="CQ349" s="21"/>
      <c r="CR349" s="21"/>
      <c r="CS349" s="21"/>
    </row>
    <row r="350" spans="3:97" ht="15.75">
      <c r="K350" s="25"/>
      <c r="M350" s="26"/>
      <c r="N350" s="25"/>
      <c r="P350" s="26"/>
      <c r="Q350" s="25"/>
      <c r="S350" s="26"/>
      <c r="T350" s="25"/>
      <c r="V350" s="26"/>
      <c r="W350" s="25"/>
      <c r="Y350" s="26"/>
      <c r="Z350" s="25"/>
      <c r="AB350" s="26"/>
      <c r="BN350" s="24"/>
      <c r="BO350" s="21"/>
      <c r="BP350" s="21"/>
      <c r="BQ350" s="21"/>
      <c r="BS350" s="22"/>
      <c r="BT350" s="21"/>
      <c r="BU350" s="21"/>
      <c r="CB350" s="21"/>
      <c r="CC350" s="21"/>
      <c r="CD350" s="21"/>
      <c r="CE350" s="21"/>
      <c r="CF350" s="21"/>
      <c r="CI350" s="23"/>
      <c r="CJ350" s="21"/>
      <c r="CK350" s="21"/>
      <c r="CL350" s="21"/>
      <c r="CM350" s="21"/>
      <c r="CQ350" s="21"/>
      <c r="CR350" s="21"/>
      <c r="CS350" s="21"/>
    </row>
    <row r="351" spans="3:97" ht="15.75">
      <c r="K351" s="25"/>
      <c r="M351" s="26"/>
      <c r="N351" s="25"/>
      <c r="P351" s="26"/>
      <c r="Q351" s="25"/>
      <c r="S351" s="26"/>
      <c r="T351" s="25"/>
      <c r="V351" s="26"/>
      <c r="W351" s="25"/>
      <c r="Y351" s="26"/>
      <c r="Z351" s="25"/>
      <c r="AB351" s="26"/>
      <c r="BN351" s="24"/>
      <c r="BO351" s="21"/>
      <c r="BP351" s="21"/>
      <c r="BQ351" s="21"/>
      <c r="BS351" s="22"/>
      <c r="BT351" s="21"/>
      <c r="BU351" s="21"/>
      <c r="CB351" s="21"/>
      <c r="CC351" s="21"/>
      <c r="CD351" s="21"/>
      <c r="CE351" s="21"/>
      <c r="CF351" s="21"/>
      <c r="CI351" s="23"/>
      <c r="CJ351" s="21"/>
      <c r="CK351" s="21"/>
      <c r="CL351" s="21"/>
      <c r="CM351" s="21"/>
      <c r="CQ351" s="21"/>
      <c r="CR351" s="21"/>
      <c r="CS351" s="21"/>
    </row>
    <row r="352" spans="3:97" ht="15.75">
      <c r="K352" s="25"/>
      <c r="M352" s="26"/>
      <c r="N352" s="25"/>
      <c r="P352" s="26"/>
      <c r="Q352" s="25"/>
      <c r="S352" s="26"/>
      <c r="T352" s="25"/>
      <c r="V352" s="26"/>
      <c r="W352" s="25"/>
      <c r="Y352" s="26"/>
      <c r="Z352" s="25"/>
      <c r="AB352" s="26"/>
      <c r="BN352" s="24"/>
      <c r="BO352" s="21"/>
      <c r="BP352" s="21"/>
      <c r="BQ352" s="21"/>
      <c r="BS352" s="22"/>
      <c r="BT352" s="21"/>
      <c r="BU352" s="21"/>
      <c r="CB352" s="21"/>
      <c r="CC352" s="21"/>
      <c r="CD352" s="21"/>
      <c r="CE352" s="21"/>
      <c r="CF352" s="21"/>
      <c r="CI352" s="23"/>
      <c r="CJ352" s="21"/>
      <c r="CK352" s="21"/>
      <c r="CL352" s="21"/>
      <c r="CM352" s="21"/>
      <c r="CQ352" s="21"/>
      <c r="CR352" s="21"/>
      <c r="CS352" s="21"/>
    </row>
    <row r="353" spans="11:97" ht="15.75">
      <c r="K353" s="25"/>
      <c r="M353" s="26"/>
      <c r="N353" s="25"/>
      <c r="P353" s="26"/>
      <c r="Q353" s="25"/>
      <c r="S353" s="26"/>
      <c r="T353" s="25"/>
      <c r="V353" s="26"/>
      <c r="W353" s="25"/>
      <c r="Y353" s="26"/>
      <c r="Z353" s="25"/>
      <c r="AB353" s="26"/>
      <c r="BN353" s="24"/>
      <c r="BO353" s="21"/>
      <c r="BP353" s="21"/>
      <c r="BQ353" s="21"/>
      <c r="BS353" s="22"/>
      <c r="BT353" s="21"/>
      <c r="BU353" s="21"/>
      <c r="CB353" s="21"/>
      <c r="CC353" s="21"/>
      <c r="CD353" s="21"/>
      <c r="CE353" s="21"/>
      <c r="CF353" s="21"/>
      <c r="CI353" s="23"/>
      <c r="CJ353" s="21"/>
      <c r="CK353" s="21"/>
      <c r="CL353" s="21"/>
      <c r="CM353" s="21"/>
      <c r="CQ353" s="21"/>
      <c r="CR353" s="21"/>
      <c r="CS353" s="21"/>
    </row>
    <row r="354" spans="11:97" ht="15.75">
      <c r="K354" s="25"/>
      <c r="M354" s="26"/>
      <c r="N354" s="25"/>
      <c r="P354" s="26"/>
      <c r="Q354" s="25"/>
      <c r="S354" s="26"/>
      <c r="T354" s="25"/>
      <c r="V354" s="26"/>
      <c r="W354" s="25"/>
      <c r="Y354" s="26"/>
      <c r="Z354" s="25"/>
      <c r="AB354" s="26"/>
      <c r="BN354" s="24"/>
      <c r="BO354" s="21"/>
      <c r="BP354" s="21"/>
      <c r="BQ354" s="21"/>
      <c r="BS354" s="22"/>
      <c r="BT354" s="21"/>
      <c r="BU354" s="21"/>
      <c r="CB354" s="21"/>
      <c r="CC354" s="21"/>
      <c r="CD354" s="21"/>
      <c r="CE354" s="21"/>
      <c r="CF354" s="21"/>
      <c r="CI354" s="23"/>
      <c r="CJ354" s="21"/>
      <c r="CK354" s="21"/>
      <c r="CL354" s="21"/>
      <c r="CM354" s="21"/>
      <c r="CQ354" s="21"/>
      <c r="CR354" s="21"/>
      <c r="CS354" s="21"/>
    </row>
    <row r="355" spans="11:97" ht="15.75">
      <c r="K355" s="25"/>
      <c r="M355" s="26"/>
      <c r="N355" s="25"/>
      <c r="P355" s="26"/>
      <c r="Q355" s="25"/>
      <c r="S355" s="26"/>
      <c r="T355" s="25"/>
      <c r="V355" s="26"/>
      <c r="W355" s="25"/>
      <c r="Y355" s="26"/>
      <c r="Z355" s="25"/>
      <c r="AB355" s="26"/>
      <c r="BN355" s="24"/>
      <c r="BO355" s="21"/>
      <c r="BP355" s="21"/>
      <c r="BQ355" s="21"/>
      <c r="BS355" s="22"/>
      <c r="BT355" s="21"/>
      <c r="BU355" s="21"/>
      <c r="CB355" s="21"/>
      <c r="CC355" s="21"/>
      <c r="CD355" s="21"/>
      <c r="CE355" s="21"/>
      <c r="CF355" s="21"/>
      <c r="CI355" s="23"/>
      <c r="CJ355" s="21"/>
      <c r="CK355" s="21"/>
      <c r="CL355" s="21"/>
      <c r="CM355" s="21"/>
      <c r="CQ355" s="21"/>
      <c r="CR355" s="21"/>
      <c r="CS355" s="21"/>
    </row>
    <row r="356" spans="11:97" ht="15.75">
      <c r="K356" s="25"/>
      <c r="M356" s="26"/>
      <c r="N356" s="25"/>
      <c r="P356" s="26"/>
      <c r="Q356" s="25"/>
      <c r="S356" s="26"/>
      <c r="T356" s="25"/>
      <c r="V356" s="26"/>
      <c r="W356" s="25"/>
      <c r="Y356" s="26"/>
      <c r="Z356" s="25"/>
      <c r="AB356" s="26"/>
      <c r="BN356" s="24"/>
      <c r="BO356" s="21"/>
      <c r="BP356" s="21"/>
      <c r="BQ356" s="21"/>
      <c r="BS356" s="22"/>
      <c r="BT356" s="21"/>
      <c r="BU356" s="21"/>
      <c r="CB356" s="21"/>
      <c r="CC356" s="21"/>
      <c r="CD356" s="21"/>
      <c r="CE356" s="21"/>
      <c r="CF356" s="21"/>
      <c r="CI356" s="23"/>
      <c r="CJ356" s="21"/>
      <c r="CK356" s="21"/>
      <c r="CL356" s="21"/>
      <c r="CM356" s="21"/>
      <c r="CQ356" s="21"/>
      <c r="CR356" s="21"/>
      <c r="CS356" s="21"/>
    </row>
    <row r="357" spans="11:97" ht="15.75">
      <c r="K357" s="25"/>
      <c r="M357" s="26"/>
      <c r="N357" s="25"/>
      <c r="P357" s="26"/>
      <c r="Q357" s="25"/>
      <c r="S357" s="26"/>
      <c r="T357" s="25"/>
      <c r="V357" s="26"/>
      <c r="W357" s="25"/>
      <c r="Y357" s="26"/>
      <c r="Z357" s="25"/>
      <c r="AB357" s="26"/>
      <c r="BN357" s="24"/>
      <c r="BO357" s="21"/>
      <c r="BP357" s="21"/>
      <c r="BQ357" s="21"/>
      <c r="BS357" s="22"/>
      <c r="BT357" s="21"/>
      <c r="BU357" s="21"/>
      <c r="CB357" s="21"/>
      <c r="CC357" s="21"/>
      <c r="CD357" s="21"/>
      <c r="CE357" s="21"/>
      <c r="CF357" s="21"/>
      <c r="CI357" s="23"/>
      <c r="CJ357" s="21"/>
      <c r="CK357" s="21"/>
      <c r="CL357" s="21"/>
      <c r="CM357" s="21"/>
      <c r="CQ357" s="21"/>
      <c r="CR357" s="21"/>
      <c r="CS357" s="21"/>
    </row>
    <row r="358" spans="11:97" ht="15.75">
      <c r="K358" s="25"/>
      <c r="M358" s="26"/>
      <c r="N358" s="25"/>
      <c r="P358" s="26"/>
      <c r="Q358" s="25"/>
      <c r="S358" s="26"/>
      <c r="T358" s="25"/>
      <c r="V358" s="26"/>
      <c r="W358" s="25"/>
      <c r="Y358" s="26"/>
      <c r="Z358" s="25"/>
      <c r="AB358" s="26"/>
      <c r="BN358" s="24"/>
      <c r="BO358" s="21"/>
      <c r="BP358" s="21"/>
      <c r="BQ358" s="21"/>
      <c r="BS358" s="22"/>
      <c r="BT358" s="21"/>
      <c r="BU358" s="21"/>
      <c r="CB358" s="21"/>
      <c r="CC358" s="21"/>
      <c r="CD358" s="21"/>
      <c r="CE358" s="21"/>
      <c r="CF358" s="21"/>
      <c r="CI358" s="23"/>
      <c r="CJ358" s="21"/>
      <c r="CK358" s="21"/>
      <c r="CL358" s="21"/>
      <c r="CM358" s="21"/>
      <c r="CQ358" s="21"/>
      <c r="CR358" s="21"/>
      <c r="CS358" s="21"/>
    </row>
    <row r="359" spans="11:97" ht="15.75">
      <c r="K359" s="25"/>
      <c r="M359" s="26"/>
      <c r="N359" s="25"/>
      <c r="P359" s="26"/>
      <c r="Q359" s="25"/>
      <c r="S359" s="26"/>
      <c r="T359" s="25"/>
      <c r="V359" s="26"/>
      <c r="W359" s="25"/>
      <c r="Y359" s="26"/>
      <c r="Z359" s="25"/>
      <c r="AB359" s="26"/>
      <c r="BN359" s="24"/>
      <c r="BO359" s="21"/>
      <c r="BP359" s="21"/>
      <c r="BQ359" s="21"/>
      <c r="BS359" s="22"/>
      <c r="BT359" s="21"/>
      <c r="BU359" s="21"/>
      <c r="CB359" s="21"/>
      <c r="CC359" s="21"/>
      <c r="CD359" s="21"/>
      <c r="CE359" s="21"/>
      <c r="CF359" s="21"/>
      <c r="CI359" s="23"/>
      <c r="CJ359" s="21"/>
      <c r="CK359" s="21"/>
      <c r="CL359" s="21"/>
      <c r="CM359" s="21"/>
      <c r="CQ359" s="21"/>
      <c r="CR359" s="21"/>
      <c r="CS359" s="21"/>
    </row>
    <row r="360" spans="11:97" ht="15.75">
      <c r="K360" s="25"/>
      <c r="M360" s="26"/>
      <c r="N360" s="25"/>
      <c r="P360" s="26"/>
      <c r="Q360" s="25"/>
      <c r="S360" s="26"/>
      <c r="T360" s="25"/>
      <c r="V360" s="26"/>
      <c r="W360" s="25"/>
      <c r="Y360" s="26"/>
      <c r="Z360" s="25"/>
      <c r="AB360" s="26"/>
      <c r="BN360" s="24"/>
      <c r="BO360" s="21"/>
      <c r="BP360" s="21"/>
      <c r="BQ360" s="21"/>
      <c r="BS360" s="22"/>
      <c r="BT360" s="21"/>
      <c r="BU360" s="21"/>
      <c r="CB360" s="21"/>
      <c r="CC360" s="21"/>
      <c r="CD360" s="21"/>
      <c r="CE360" s="21"/>
      <c r="CF360" s="21"/>
      <c r="CI360" s="23"/>
      <c r="CJ360" s="21"/>
      <c r="CK360" s="21"/>
      <c r="CL360" s="21"/>
      <c r="CM360" s="21"/>
      <c r="CQ360" s="21"/>
      <c r="CR360" s="21"/>
      <c r="CS360" s="21"/>
    </row>
    <row r="361" spans="11:97" ht="15.75">
      <c r="K361" s="25"/>
      <c r="M361" s="26"/>
      <c r="N361" s="25"/>
      <c r="P361" s="26"/>
      <c r="Q361" s="25"/>
      <c r="S361" s="26"/>
      <c r="T361" s="25"/>
      <c r="V361" s="26"/>
      <c r="W361" s="25"/>
      <c r="Y361" s="26"/>
      <c r="Z361" s="25"/>
      <c r="AB361" s="26"/>
      <c r="BN361" s="24"/>
      <c r="BO361" s="21"/>
      <c r="BP361" s="21"/>
      <c r="BQ361" s="21"/>
      <c r="BS361" s="22"/>
      <c r="BT361" s="21"/>
      <c r="BU361" s="21"/>
      <c r="CB361" s="21"/>
      <c r="CC361" s="21"/>
      <c r="CD361" s="21"/>
      <c r="CE361" s="21"/>
      <c r="CF361" s="21"/>
      <c r="CI361" s="23"/>
      <c r="CJ361" s="21"/>
      <c r="CK361" s="21"/>
      <c r="CL361" s="21"/>
      <c r="CM361" s="21"/>
      <c r="CQ361" s="21"/>
      <c r="CR361" s="21"/>
      <c r="CS361" s="21"/>
    </row>
    <row r="362" spans="11:97" ht="15.75">
      <c r="K362" s="25"/>
      <c r="M362" s="26"/>
      <c r="N362" s="25"/>
      <c r="P362" s="26"/>
      <c r="Q362" s="25"/>
      <c r="S362" s="26"/>
      <c r="T362" s="25"/>
      <c r="V362" s="26"/>
      <c r="W362" s="25"/>
      <c r="Y362" s="26"/>
      <c r="Z362" s="25"/>
      <c r="AB362" s="26"/>
      <c r="BN362" s="24"/>
      <c r="BO362" s="21"/>
      <c r="BP362" s="21"/>
      <c r="BQ362" s="21"/>
      <c r="BS362" s="22"/>
      <c r="BT362" s="21"/>
      <c r="BU362" s="21"/>
      <c r="CB362" s="21"/>
      <c r="CC362" s="21"/>
      <c r="CD362" s="21"/>
      <c r="CE362" s="21"/>
      <c r="CF362" s="21"/>
      <c r="CI362" s="23"/>
      <c r="CJ362" s="21"/>
      <c r="CK362" s="21"/>
      <c r="CL362" s="21"/>
      <c r="CM362" s="21"/>
      <c r="CQ362" s="21"/>
      <c r="CR362" s="21"/>
      <c r="CS362" s="21"/>
    </row>
    <row r="363" spans="11:97" ht="15.75">
      <c r="K363" s="25"/>
      <c r="M363" s="26"/>
      <c r="N363" s="25"/>
      <c r="P363" s="26"/>
      <c r="Q363" s="25"/>
      <c r="S363" s="26"/>
      <c r="T363" s="25"/>
      <c r="V363" s="26"/>
      <c r="W363" s="25"/>
      <c r="Y363" s="26"/>
      <c r="Z363" s="25"/>
      <c r="AB363" s="26"/>
      <c r="BN363" s="24"/>
      <c r="BO363" s="21"/>
      <c r="BP363" s="21"/>
      <c r="BQ363" s="21"/>
      <c r="BS363" s="22"/>
      <c r="BT363" s="21"/>
      <c r="BU363" s="21"/>
      <c r="CB363" s="21"/>
      <c r="CC363" s="21"/>
      <c r="CD363" s="21"/>
      <c r="CE363" s="21"/>
      <c r="CF363" s="21"/>
      <c r="CI363" s="23"/>
      <c r="CJ363" s="21"/>
      <c r="CK363" s="21"/>
      <c r="CL363" s="21"/>
      <c r="CM363" s="21"/>
      <c r="CQ363" s="21"/>
      <c r="CR363" s="21"/>
      <c r="CS363" s="21"/>
    </row>
    <row r="364" spans="11:97" ht="15.75">
      <c r="K364" s="25"/>
      <c r="M364" s="26"/>
      <c r="N364" s="25"/>
      <c r="P364" s="26"/>
      <c r="Q364" s="25"/>
      <c r="S364" s="26"/>
      <c r="T364" s="25"/>
      <c r="V364" s="26"/>
      <c r="W364" s="25"/>
      <c r="Y364" s="26"/>
      <c r="Z364" s="25"/>
      <c r="AB364" s="26"/>
      <c r="BN364" s="24"/>
      <c r="BO364" s="21"/>
      <c r="BP364" s="21"/>
      <c r="BQ364" s="21"/>
      <c r="BS364" s="22"/>
      <c r="BT364" s="21"/>
      <c r="BU364" s="21"/>
      <c r="CB364" s="21"/>
      <c r="CC364" s="21"/>
      <c r="CD364" s="21"/>
      <c r="CE364" s="21"/>
      <c r="CF364" s="21"/>
      <c r="CI364" s="23"/>
      <c r="CJ364" s="21"/>
      <c r="CK364" s="21"/>
      <c r="CL364" s="21"/>
      <c r="CM364" s="21"/>
      <c r="CQ364" s="21"/>
      <c r="CR364" s="21"/>
      <c r="CS364" s="21"/>
    </row>
    <row r="365" spans="11:97" ht="15.75">
      <c r="K365" s="25"/>
      <c r="M365" s="26"/>
      <c r="N365" s="25"/>
      <c r="P365" s="26"/>
      <c r="Q365" s="25"/>
      <c r="S365" s="26"/>
      <c r="T365" s="25"/>
      <c r="V365" s="26"/>
      <c r="W365" s="25"/>
      <c r="Y365" s="26"/>
      <c r="Z365" s="25"/>
      <c r="AB365" s="26"/>
      <c r="BN365" s="24"/>
      <c r="BO365" s="21"/>
      <c r="BP365" s="21"/>
      <c r="BQ365" s="21"/>
      <c r="BS365" s="22"/>
      <c r="BT365" s="21"/>
      <c r="BU365" s="21"/>
      <c r="CB365" s="21"/>
      <c r="CC365" s="21"/>
      <c r="CD365" s="21"/>
      <c r="CE365" s="21"/>
      <c r="CF365" s="21"/>
      <c r="CI365" s="23"/>
      <c r="CJ365" s="21"/>
      <c r="CK365" s="21"/>
      <c r="CL365" s="21"/>
      <c r="CM365" s="21"/>
      <c r="CQ365" s="21"/>
      <c r="CR365" s="21"/>
      <c r="CS365" s="21"/>
    </row>
    <row r="366" spans="11:97" ht="15.75">
      <c r="K366" s="25"/>
      <c r="M366" s="26"/>
      <c r="N366" s="25"/>
      <c r="P366" s="26"/>
      <c r="Q366" s="25"/>
      <c r="S366" s="26"/>
      <c r="T366" s="25"/>
      <c r="V366" s="26"/>
      <c r="W366" s="25"/>
      <c r="Y366" s="26"/>
      <c r="Z366" s="25"/>
      <c r="AB366" s="26"/>
      <c r="BN366" s="24"/>
      <c r="BO366" s="21"/>
      <c r="BP366" s="21"/>
      <c r="BQ366" s="21"/>
      <c r="BS366" s="22"/>
      <c r="BT366" s="21"/>
      <c r="BU366" s="21"/>
      <c r="CB366" s="21"/>
      <c r="CC366" s="21"/>
      <c r="CD366" s="21"/>
      <c r="CE366" s="21"/>
      <c r="CF366" s="21"/>
      <c r="CI366" s="23"/>
      <c r="CJ366" s="21"/>
      <c r="CK366" s="21"/>
      <c r="CL366" s="21"/>
      <c r="CM366" s="21"/>
      <c r="CQ366" s="21"/>
      <c r="CR366" s="21"/>
      <c r="CS366" s="21"/>
    </row>
    <row r="367" spans="11:97" ht="15.75">
      <c r="K367" s="25"/>
      <c r="M367" s="26"/>
      <c r="N367" s="25"/>
      <c r="P367" s="26"/>
      <c r="Q367" s="25"/>
      <c r="S367" s="26"/>
      <c r="T367" s="25"/>
      <c r="V367" s="26"/>
      <c r="W367" s="25"/>
      <c r="Y367" s="26"/>
      <c r="Z367" s="25"/>
      <c r="AB367" s="26"/>
      <c r="BN367" s="24"/>
      <c r="BO367" s="21"/>
      <c r="BP367" s="21"/>
      <c r="BQ367" s="21"/>
      <c r="BS367" s="22"/>
      <c r="BT367" s="21"/>
      <c r="BU367" s="21"/>
      <c r="CB367" s="21"/>
      <c r="CC367" s="21"/>
      <c r="CD367" s="21"/>
      <c r="CE367" s="21"/>
      <c r="CF367" s="21"/>
      <c r="CI367" s="23"/>
      <c r="CJ367" s="21"/>
      <c r="CK367" s="21"/>
      <c r="CL367" s="21"/>
      <c r="CM367" s="21"/>
      <c r="CQ367" s="21"/>
      <c r="CR367" s="21"/>
      <c r="CS367" s="21"/>
    </row>
    <row r="368" spans="11:97" ht="15.75">
      <c r="K368" s="25"/>
      <c r="M368" s="26"/>
      <c r="N368" s="25"/>
      <c r="P368" s="26"/>
      <c r="Q368" s="25"/>
      <c r="S368" s="26"/>
      <c r="T368" s="25"/>
      <c r="V368" s="26"/>
      <c r="W368" s="25"/>
      <c r="Y368" s="26"/>
      <c r="Z368" s="25"/>
      <c r="AB368" s="26"/>
      <c r="BN368" s="24"/>
      <c r="BO368" s="21"/>
      <c r="BP368" s="21"/>
      <c r="BQ368" s="21"/>
      <c r="BS368" s="22"/>
      <c r="BT368" s="21"/>
      <c r="BU368" s="21"/>
      <c r="CB368" s="21"/>
      <c r="CC368" s="21"/>
      <c r="CD368" s="21"/>
      <c r="CE368" s="21"/>
      <c r="CF368" s="21"/>
      <c r="CI368" s="23"/>
      <c r="CJ368" s="21"/>
      <c r="CK368" s="21"/>
      <c r="CL368" s="21"/>
      <c r="CM368" s="21"/>
      <c r="CQ368" s="21"/>
      <c r="CR368" s="21"/>
      <c r="CS368" s="21"/>
    </row>
    <row r="369" spans="11:97" ht="15.75">
      <c r="K369" s="25"/>
      <c r="M369" s="26"/>
      <c r="N369" s="25"/>
      <c r="P369" s="26"/>
      <c r="Q369" s="25"/>
      <c r="S369" s="26"/>
      <c r="T369" s="25"/>
      <c r="V369" s="26"/>
      <c r="W369" s="25"/>
      <c r="Y369" s="26"/>
      <c r="Z369" s="25"/>
      <c r="AB369" s="26"/>
      <c r="BN369" s="24"/>
      <c r="BO369" s="21"/>
      <c r="BP369" s="21"/>
      <c r="BQ369" s="21"/>
      <c r="BS369" s="22"/>
      <c r="BT369" s="21"/>
      <c r="BU369" s="21"/>
      <c r="CB369" s="21"/>
      <c r="CC369" s="21"/>
      <c r="CD369" s="21"/>
      <c r="CE369" s="21"/>
      <c r="CF369" s="21"/>
      <c r="CI369" s="23"/>
      <c r="CJ369" s="21"/>
      <c r="CK369" s="21"/>
      <c r="CL369" s="21"/>
      <c r="CM369" s="21"/>
      <c r="CQ369" s="21"/>
      <c r="CR369" s="21"/>
      <c r="CS369" s="21"/>
    </row>
    <row r="370" spans="11:97" ht="15.75">
      <c r="K370" s="25"/>
      <c r="M370" s="26"/>
      <c r="N370" s="25"/>
      <c r="P370" s="26"/>
      <c r="Q370" s="25"/>
      <c r="S370" s="26"/>
      <c r="T370" s="25"/>
      <c r="V370" s="26"/>
      <c r="W370" s="25"/>
      <c r="Y370" s="26"/>
      <c r="Z370" s="25"/>
      <c r="AB370" s="26"/>
      <c r="BN370" s="24"/>
      <c r="BO370" s="21"/>
      <c r="BP370" s="21"/>
      <c r="BQ370" s="21"/>
      <c r="BS370" s="22"/>
      <c r="BT370" s="21"/>
      <c r="BU370" s="21"/>
      <c r="CB370" s="21"/>
      <c r="CC370" s="21"/>
      <c r="CD370" s="21"/>
      <c r="CE370" s="21"/>
      <c r="CF370" s="21"/>
      <c r="CI370" s="23"/>
      <c r="CJ370" s="21"/>
      <c r="CK370" s="21"/>
      <c r="CL370" s="21"/>
      <c r="CM370" s="21"/>
      <c r="CQ370" s="21"/>
      <c r="CR370" s="21"/>
      <c r="CS370" s="21"/>
    </row>
    <row r="371" spans="11:97" ht="15.75">
      <c r="K371" s="25"/>
      <c r="M371" s="26"/>
      <c r="N371" s="25"/>
      <c r="P371" s="26"/>
      <c r="Q371" s="25"/>
      <c r="S371" s="26"/>
      <c r="T371" s="25"/>
      <c r="V371" s="26"/>
      <c r="W371" s="25"/>
      <c r="Y371" s="26"/>
      <c r="Z371" s="25"/>
      <c r="AB371" s="26"/>
      <c r="BN371" s="24"/>
      <c r="BO371" s="21"/>
      <c r="BP371" s="21"/>
      <c r="BQ371" s="21"/>
      <c r="BS371" s="22"/>
      <c r="BT371" s="21"/>
      <c r="BU371" s="21"/>
      <c r="CB371" s="21"/>
      <c r="CC371" s="21"/>
      <c r="CD371" s="21"/>
      <c r="CE371" s="21"/>
      <c r="CF371" s="21"/>
      <c r="CI371" s="23"/>
      <c r="CJ371" s="21"/>
      <c r="CK371" s="21"/>
      <c r="CL371" s="21"/>
      <c r="CM371" s="21"/>
      <c r="CQ371" s="21"/>
      <c r="CR371" s="21"/>
      <c r="CS371" s="21"/>
    </row>
    <row r="372" spans="11:97" ht="15.75">
      <c r="K372" s="25"/>
      <c r="M372" s="26"/>
      <c r="N372" s="25"/>
      <c r="P372" s="26"/>
      <c r="Q372" s="25"/>
      <c r="S372" s="26"/>
      <c r="T372" s="25"/>
      <c r="V372" s="26"/>
      <c r="W372" s="25"/>
      <c r="Y372" s="26"/>
      <c r="Z372" s="25"/>
      <c r="AB372" s="26"/>
      <c r="BN372" s="24"/>
      <c r="BO372" s="21"/>
      <c r="BP372" s="21"/>
      <c r="BQ372" s="21"/>
      <c r="BS372" s="22"/>
      <c r="BT372" s="21"/>
      <c r="BU372" s="21"/>
      <c r="CB372" s="21"/>
      <c r="CC372" s="21"/>
      <c r="CD372" s="21"/>
      <c r="CE372" s="21"/>
      <c r="CF372" s="21"/>
      <c r="CI372" s="23"/>
      <c r="CJ372" s="21"/>
      <c r="CK372" s="21"/>
      <c r="CL372" s="21"/>
      <c r="CM372" s="21"/>
      <c r="CQ372" s="21"/>
      <c r="CR372" s="21"/>
      <c r="CS372" s="21"/>
    </row>
    <row r="373" spans="11:97" ht="15.75">
      <c r="K373" s="25"/>
      <c r="M373" s="26"/>
      <c r="N373" s="25"/>
      <c r="P373" s="26"/>
      <c r="Q373" s="25"/>
      <c r="S373" s="26"/>
      <c r="T373" s="25"/>
      <c r="V373" s="26"/>
      <c r="W373" s="25"/>
      <c r="Y373" s="26"/>
      <c r="Z373" s="25"/>
      <c r="AB373" s="26"/>
      <c r="BN373" s="24"/>
      <c r="BO373" s="21"/>
      <c r="BP373" s="21"/>
      <c r="BQ373" s="21"/>
      <c r="BS373" s="22"/>
      <c r="BT373" s="21"/>
      <c r="BU373" s="21"/>
      <c r="CB373" s="21"/>
      <c r="CC373" s="21"/>
      <c r="CD373" s="21"/>
      <c r="CE373" s="21"/>
      <c r="CF373" s="21"/>
      <c r="CI373" s="23"/>
      <c r="CJ373" s="21"/>
      <c r="CK373" s="21"/>
      <c r="CL373" s="21"/>
      <c r="CM373" s="21"/>
      <c r="CQ373" s="21"/>
      <c r="CR373" s="21"/>
      <c r="CS373" s="21"/>
    </row>
    <row r="374" spans="11:97" ht="15.75">
      <c r="K374" s="25"/>
      <c r="M374" s="26"/>
      <c r="N374" s="25"/>
      <c r="P374" s="26"/>
      <c r="Q374" s="25"/>
      <c r="S374" s="26"/>
      <c r="T374" s="25"/>
      <c r="V374" s="26"/>
      <c r="W374" s="25"/>
      <c r="Y374" s="26"/>
      <c r="Z374" s="25"/>
      <c r="AB374" s="26"/>
      <c r="BN374" s="24"/>
      <c r="BO374" s="21"/>
      <c r="BP374" s="21"/>
      <c r="BQ374" s="21"/>
      <c r="BS374" s="22"/>
      <c r="BT374" s="21"/>
      <c r="BU374" s="21"/>
      <c r="CB374" s="21"/>
      <c r="CC374" s="21"/>
      <c r="CD374" s="21"/>
      <c r="CE374" s="21"/>
      <c r="CF374" s="21"/>
      <c r="CI374" s="23"/>
      <c r="CJ374" s="21"/>
      <c r="CK374" s="21"/>
      <c r="CL374" s="21"/>
      <c r="CM374" s="21"/>
      <c r="CQ374" s="21"/>
      <c r="CR374" s="21"/>
      <c r="CS374" s="21"/>
    </row>
    <row r="375" spans="11:97" ht="15.75">
      <c r="K375" s="25"/>
      <c r="M375" s="26"/>
      <c r="N375" s="25"/>
      <c r="P375" s="26"/>
      <c r="Q375" s="25"/>
      <c r="S375" s="26"/>
      <c r="T375" s="25"/>
      <c r="V375" s="26"/>
      <c r="W375" s="25"/>
      <c r="Y375" s="26"/>
      <c r="Z375" s="25"/>
      <c r="AB375" s="26"/>
      <c r="BN375" s="24"/>
      <c r="BO375" s="21"/>
      <c r="BP375" s="21"/>
      <c r="BQ375" s="21"/>
      <c r="BS375" s="22"/>
      <c r="BT375" s="21"/>
      <c r="BU375" s="21"/>
      <c r="CB375" s="21"/>
      <c r="CC375" s="21"/>
      <c r="CD375" s="21"/>
      <c r="CE375" s="21"/>
      <c r="CF375" s="21"/>
      <c r="CI375" s="23"/>
      <c r="CJ375" s="21"/>
      <c r="CK375" s="21"/>
      <c r="CL375" s="21"/>
      <c r="CM375" s="21"/>
      <c r="CQ375" s="21"/>
      <c r="CR375" s="21"/>
      <c r="CS375" s="21"/>
    </row>
    <row r="376" spans="11:97" ht="15.75">
      <c r="K376" s="25"/>
      <c r="M376" s="26"/>
      <c r="N376" s="25"/>
      <c r="P376" s="26"/>
      <c r="Q376" s="25"/>
      <c r="S376" s="26"/>
      <c r="T376" s="25"/>
      <c r="V376" s="26"/>
      <c r="W376" s="25"/>
      <c r="Y376" s="26"/>
      <c r="Z376" s="25"/>
      <c r="AB376" s="26"/>
      <c r="BN376" s="24"/>
      <c r="BO376" s="21"/>
      <c r="BP376" s="21"/>
      <c r="BQ376" s="21"/>
      <c r="BS376" s="22"/>
      <c r="BT376" s="21"/>
      <c r="BU376" s="21"/>
      <c r="CB376" s="21"/>
      <c r="CC376" s="21"/>
      <c r="CD376" s="21"/>
      <c r="CE376" s="21"/>
      <c r="CF376" s="21"/>
      <c r="CI376" s="23"/>
      <c r="CJ376" s="21"/>
      <c r="CK376" s="21"/>
      <c r="CL376" s="21"/>
      <c r="CM376" s="21"/>
      <c r="CQ376" s="21"/>
      <c r="CR376" s="21"/>
      <c r="CS376" s="21"/>
    </row>
    <row r="377" spans="11:97" ht="15.75">
      <c r="K377" s="25"/>
      <c r="M377" s="26"/>
      <c r="N377" s="25"/>
      <c r="P377" s="26"/>
      <c r="Q377" s="25"/>
      <c r="S377" s="26"/>
      <c r="T377" s="25"/>
      <c r="V377" s="26"/>
      <c r="W377" s="25"/>
      <c r="Y377" s="26"/>
      <c r="Z377" s="25"/>
      <c r="AB377" s="26"/>
      <c r="BN377" s="24"/>
      <c r="BO377" s="21"/>
      <c r="BP377" s="21"/>
      <c r="BQ377" s="21"/>
      <c r="BS377" s="22"/>
      <c r="BT377" s="21"/>
      <c r="BU377" s="21"/>
      <c r="CB377" s="21"/>
      <c r="CC377" s="21"/>
      <c r="CD377" s="21"/>
      <c r="CE377" s="21"/>
      <c r="CF377" s="21"/>
      <c r="CI377" s="23"/>
      <c r="CJ377" s="21"/>
      <c r="CK377" s="21"/>
      <c r="CL377" s="21"/>
      <c r="CM377" s="21"/>
      <c r="CQ377" s="21"/>
      <c r="CR377" s="21"/>
      <c r="CS377" s="21"/>
    </row>
    <row r="378" spans="11:97" ht="15.75">
      <c r="K378" s="25"/>
      <c r="M378" s="26"/>
      <c r="N378" s="25"/>
      <c r="P378" s="26"/>
      <c r="Q378" s="25"/>
      <c r="S378" s="26"/>
      <c r="T378" s="25"/>
      <c r="V378" s="26"/>
      <c r="W378" s="25"/>
      <c r="Y378" s="26"/>
      <c r="Z378" s="25"/>
      <c r="AB378" s="26"/>
      <c r="BN378" s="24"/>
      <c r="BO378" s="21"/>
      <c r="BP378" s="21"/>
      <c r="BQ378" s="21"/>
      <c r="BS378" s="22"/>
      <c r="BT378" s="21"/>
      <c r="BU378" s="21"/>
      <c r="CB378" s="21"/>
      <c r="CC378" s="21"/>
      <c r="CD378" s="21"/>
      <c r="CE378" s="21"/>
      <c r="CF378" s="21"/>
      <c r="CI378" s="23"/>
      <c r="CJ378" s="21"/>
      <c r="CK378" s="21"/>
      <c r="CL378" s="21"/>
      <c r="CM378" s="21"/>
      <c r="CQ378" s="21"/>
      <c r="CR378" s="21"/>
      <c r="CS378" s="21"/>
    </row>
    <row r="379" spans="11:97" ht="15.75">
      <c r="K379" s="25"/>
      <c r="M379" s="26"/>
      <c r="N379" s="25"/>
      <c r="P379" s="26"/>
      <c r="Q379" s="25"/>
      <c r="S379" s="26"/>
      <c r="T379" s="25"/>
      <c r="V379" s="26"/>
      <c r="W379" s="25"/>
      <c r="Y379" s="26"/>
      <c r="Z379" s="25"/>
      <c r="AB379" s="26"/>
      <c r="BN379" s="24"/>
      <c r="BO379" s="21"/>
      <c r="BP379" s="21"/>
      <c r="BQ379" s="21"/>
      <c r="BS379" s="22"/>
      <c r="BT379" s="21"/>
      <c r="BU379" s="21"/>
      <c r="CB379" s="21"/>
      <c r="CC379" s="21"/>
      <c r="CD379" s="21"/>
      <c r="CE379" s="21"/>
      <c r="CF379" s="21"/>
      <c r="CI379" s="23"/>
      <c r="CJ379" s="21"/>
      <c r="CK379" s="21"/>
      <c r="CL379" s="21"/>
      <c r="CM379" s="21"/>
      <c r="CQ379" s="21"/>
      <c r="CR379" s="21"/>
      <c r="CS379" s="21"/>
    </row>
    <row r="380" spans="11:97" ht="15.75">
      <c r="K380" s="25"/>
      <c r="M380" s="26"/>
      <c r="N380" s="25"/>
      <c r="P380" s="26"/>
      <c r="Q380" s="25"/>
      <c r="S380" s="26"/>
      <c r="T380" s="25"/>
      <c r="V380" s="26"/>
      <c r="W380" s="25"/>
      <c r="Y380" s="26"/>
      <c r="Z380" s="25"/>
      <c r="AB380" s="26"/>
      <c r="BN380" s="24"/>
      <c r="BO380" s="21"/>
      <c r="BP380" s="21"/>
      <c r="BQ380" s="21"/>
      <c r="BS380" s="22"/>
      <c r="BT380" s="21"/>
      <c r="BU380" s="21"/>
      <c r="CB380" s="21"/>
      <c r="CC380" s="21"/>
      <c r="CD380" s="21"/>
      <c r="CE380" s="21"/>
      <c r="CF380" s="21"/>
      <c r="CI380" s="23"/>
      <c r="CJ380" s="21"/>
      <c r="CK380" s="21"/>
      <c r="CL380" s="21"/>
      <c r="CM380" s="21"/>
      <c r="CQ380" s="21"/>
      <c r="CR380" s="21"/>
      <c r="CS380" s="21"/>
    </row>
    <row r="381" spans="11:97" ht="15.75">
      <c r="K381" s="25"/>
      <c r="M381" s="26"/>
      <c r="N381" s="25"/>
      <c r="P381" s="26"/>
      <c r="Q381" s="25"/>
      <c r="S381" s="26"/>
      <c r="T381" s="25"/>
      <c r="V381" s="26"/>
      <c r="W381" s="25"/>
      <c r="Y381" s="26"/>
      <c r="Z381" s="25"/>
      <c r="AB381" s="26"/>
      <c r="BN381" s="24"/>
      <c r="BO381" s="21"/>
      <c r="BP381" s="21"/>
      <c r="BQ381" s="21"/>
      <c r="BS381" s="22"/>
      <c r="BT381" s="21"/>
      <c r="BU381" s="21"/>
      <c r="CB381" s="21"/>
      <c r="CC381" s="21"/>
      <c r="CD381" s="21"/>
      <c r="CE381" s="21"/>
      <c r="CF381" s="21"/>
      <c r="CI381" s="23"/>
      <c r="CJ381" s="21"/>
      <c r="CK381" s="21"/>
      <c r="CL381" s="21"/>
      <c r="CM381" s="21"/>
      <c r="CQ381" s="21"/>
      <c r="CR381" s="21"/>
      <c r="CS381" s="21"/>
    </row>
    <row r="382" spans="11:97" ht="15.75">
      <c r="K382" s="25"/>
      <c r="M382" s="26"/>
      <c r="N382" s="25"/>
      <c r="P382" s="26"/>
      <c r="Q382" s="25"/>
      <c r="S382" s="26"/>
      <c r="T382" s="25"/>
      <c r="V382" s="26"/>
      <c r="W382" s="25"/>
      <c r="Y382" s="26"/>
      <c r="Z382" s="25"/>
      <c r="AB382" s="26"/>
      <c r="BN382" s="24"/>
      <c r="BO382" s="21"/>
      <c r="BP382" s="21"/>
      <c r="BQ382" s="21"/>
      <c r="BS382" s="22"/>
      <c r="BT382" s="21"/>
      <c r="BU382" s="21"/>
      <c r="CB382" s="21"/>
      <c r="CC382" s="21"/>
      <c r="CD382" s="21"/>
      <c r="CE382" s="21"/>
      <c r="CF382" s="21"/>
      <c r="CI382" s="23"/>
      <c r="CJ382" s="21"/>
      <c r="CK382" s="21"/>
      <c r="CL382" s="21"/>
      <c r="CM382" s="21"/>
      <c r="CQ382" s="21"/>
      <c r="CR382" s="21"/>
      <c r="CS382" s="21"/>
    </row>
    <row r="383" spans="11:97" ht="15.75">
      <c r="K383" s="25"/>
      <c r="M383" s="26"/>
      <c r="N383" s="25"/>
      <c r="P383" s="26"/>
      <c r="Q383" s="25"/>
      <c r="S383" s="26"/>
      <c r="T383" s="25"/>
      <c r="V383" s="26"/>
      <c r="W383" s="25"/>
      <c r="Y383" s="26"/>
      <c r="Z383" s="25"/>
      <c r="AB383" s="26"/>
      <c r="BN383" s="24"/>
      <c r="BO383" s="21"/>
      <c r="BP383" s="21"/>
      <c r="BQ383" s="21"/>
      <c r="BS383" s="22"/>
      <c r="BT383" s="21"/>
      <c r="BU383" s="21"/>
      <c r="CB383" s="21"/>
      <c r="CC383" s="21"/>
      <c r="CD383" s="21"/>
      <c r="CE383" s="21"/>
      <c r="CF383" s="21"/>
      <c r="CI383" s="23"/>
      <c r="CJ383" s="21"/>
      <c r="CK383" s="21"/>
      <c r="CL383" s="21"/>
      <c r="CM383" s="21"/>
      <c r="CQ383" s="21"/>
      <c r="CR383" s="21"/>
      <c r="CS383" s="21"/>
    </row>
    <row r="384" spans="11:97" ht="15.75">
      <c r="K384" s="25"/>
      <c r="M384" s="26"/>
      <c r="N384" s="25"/>
      <c r="P384" s="26"/>
      <c r="Q384" s="25"/>
      <c r="S384" s="26"/>
      <c r="T384" s="25"/>
      <c r="V384" s="26"/>
      <c r="W384" s="25"/>
      <c r="Y384" s="26"/>
      <c r="Z384" s="25"/>
      <c r="AB384" s="26"/>
      <c r="BN384" s="24"/>
      <c r="BO384" s="21"/>
      <c r="BP384" s="21"/>
      <c r="BQ384" s="21"/>
      <c r="BS384" s="22"/>
      <c r="BT384" s="21"/>
      <c r="BU384" s="21"/>
      <c r="CB384" s="21"/>
      <c r="CC384" s="21"/>
      <c r="CD384" s="21"/>
      <c r="CE384" s="21"/>
      <c r="CF384" s="21"/>
      <c r="CI384" s="23"/>
      <c r="CJ384" s="21"/>
      <c r="CK384" s="21"/>
      <c r="CL384" s="21"/>
      <c r="CM384" s="21"/>
      <c r="CQ384" s="21"/>
      <c r="CR384" s="21"/>
      <c r="CS384" s="21"/>
    </row>
    <row r="385" spans="11:97" ht="15.75">
      <c r="K385" s="25"/>
      <c r="M385" s="26"/>
      <c r="N385" s="25"/>
      <c r="P385" s="26"/>
      <c r="Q385" s="25"/>
      <c r="S385" s="26"/>
      <c r="T385" s="25"/>
      <c r="V385" s="26"/>
      <c r="W385" s="25"/>
      <c r="Y385" s="26"/>
      <c r="Z385" s="25"/>
      <c r="AB385" s="26"/>
      <c r="BN385" s="24"/>
      <c r="BO385" s="21"/>
      <c r="BP385" s="21"/>
      <c r="BQ385" s="21"/>
      <c r="BS385" s="22"/>
      <c r="BT385" s="21"/>
      <c r="BU385" s="21"/>
      <c r="CB385" s="21"/>
      <c r="CC385" s="21"/>
      <c r="CD385" s="21"/>
      <c r="CE385" s="21"/>
      <c r="CF385" s="21"/>
      <c r="CI385" s="23"/>
      <c r="CJ385" s="21"/>
      <c r="CK385" s="21"/>
      <c r="CL385" s="21"/>
      <c r="CM385" s="21"/>
      <c r="CQ385" s="21"/>
      <c r="CR385" s="21"/>
      <c r="CS385" s="21"/>
    </row>
    <row r="386" spans="11:97" ht="15.75">
      <c r="K386" s="25"/>
      <c r="M386" s="26"/>
      <c r="N386" s="25"/>
      <c r="P386" s="26"/>
      <c r="Q386" s="25"/>
      <c r="S386" s="26"/>
      <c r="T386" s="25"/>
      <c r="V386" s="26"/>
      <c r="W386" s="25"/>
      <c r="Y386" s="26"/>
      <c r="Z386" s="25"/>
      <c r="AB386" s="26"/>
      <c r="BN386" s="24"/>
      <c r="BO386" s="21"/>
      <c r="BP386" s="21"/>
      <c r="BQ386" s="21"/>
      <c r="BS386" s="22"/>
      <c r="BT386" s="21"/>
      <c r="BU386" s="21"/>
      <c r="CB386" s="21"/>
      <c r="CC386" s="21"/>
      <c r="CD386" s="21"/>
      <c r="CE386" s="21"/>
      <c r="CF386" s="21"/>
      <c r="CI386" s="23"/>
      <c r="CJ386" s="21"/>
      <c r="CK386" s="21"/>
      <c r="CL386" s="21"/>
      <c r="CM386" s="21"/>
      <c r="CQ386" s="21"/>
      <c r="CR386" s="21"/>
      <c r="CS386" s="21"/>
    </row>
    <row r="387" spans="11:97" ht="15.75">
      <c r="K387" s="25"/>
      <c r="M387" s="26"/>
      <c r="N387" s="25"/>
      <c r="P387" s="26"/>
      <c r="Q387" s="25"/>
      <c r="S387" s="26"/>
      <c r="T387" s="25"/>
      <c r="V387" s="26"/>
      <c r="W387" s="25"/>
      <c r="Y387" s="26"/>
      <c r="Z387" s="25"/>
      <c r="AB387" s="26"/>
      <c r="BN387" s="24"/>
      <c r="BO387" s="21"/>
      <c r="BP387" s="21"/>
      <c r="BQ387" s="21"/>
      <c r="BS387" s="22"/>
      <c r="BT387" s="21"/>
      <c r="BU387" s="21"/>
      <c r="CB387" s="21"/>
      <c r="CC387" s="21"/>
      <c r="CD387" s="21"/>
      <c r="CE387" s="21"/>
      <c r="CF387" s="21"/>
      <c r="CI387" s="23"/>
      <c r="CJ387" s="21"/>
      <c r="CK387" s="21"/>
      <c r="CL387" s="21"/>
      <c r="CM387" s="21"/>
      <c r="CQ387" s="21"/>
      <c r="CR387" s="21"/>
      <c r="CS387" s="21"/>
    </row>
    <row r="388" spans="11:97" ht="15.75">
      <c r="K388" s="25"/>
      <c r="M388" s="26"/>
      <c r="N388" s="25"/>
      <c r="P388" s="26"/>
      <c r="Q388" s="25"/>
      <c r="S388" s="26"/>
      <c r="T388" s="25"/>
      <c r="V388" s="26"/>
      <c r="W388" s="25"/>
      <c r="Y388" s="26"/>
      <c r="Z388" s="25"/>
      <c r="AB388" s="26"/>
      <c r="BN388" s="24"/>
      <c r="BO388" s="21"/>
      <c r="BP388" s="21"/>
      <c r="BQ388" s="21"/>
      <c r="BS388" s="22"/>
      <c r="BT388" s="21"/>
      <c r="BU388" s="21"/>
      <c r="CB388" s="21"/>
      <c r="CC388" s="21"/>
      <c r="CD388" s="21"/>
      <c r="CE388" s="21"/>
      <c r="CF388" s="21"/>
      <c r="CI388" s="23"/>
      <c r="CJ388" s="21"/>
      <c r="CK388" s="21"/>
      <c r="CL388" s="21"/>
      <c r="CM388" s="21"/>
      <c r="CQ388" s="21"/>
      <c r="CR388" s="21"/>
      <c r="CS388" s="21"/>
    </row>
    <row r="389" spans="11:97" ht="15.75">
      <c r="K389" s="25"/>
      <c r="M389" s="26"/>
      <c r="N389" s="25"/>
      <c r="P389" s="26"/>
      <c r="Q389" s="25"/>
      <c r="S389" s="26"/>
      <c r="T389" s="25"/>
      <c r="V389" s="26"/>
      <c r="W389" s="25"/>
      <c r="Y389" s="26"/>
      <c r="Z389" s="25"/>
      <c r="AB389" s="26"/>
      <c r="BN389" s="24"/>
      <c r="BO389" s="21"/>
      <c r="BP389" s="21"/>
      <c r="BQ389" s="21"/>
      <c r="BS389" s="22"/>
      <c r="BT389" s="21"/>
      <c r="BU389" s="21"/>
      <c r="CB389" s="21"/>
      <c r="CC389" s="21"/>
      <c r="CD389" s="21"/>
      <c r="CE389" s="21"/>
      <c r="CF389" s="21"/>
      <c r="CI389" s="23"/>
      <c r="CJ389" s="21"/>
      <c r="CK389" s="21"/>
      <c r="CL389" s="21"/>
      <c r="CM389" s="21"/>
      <c r="CQ389" s="21"/>
      <c r="CR389" s="21"/>
      <c r="CS389" s="21"/>
    </row>
    <row r="390" spans="11:97" ht="15.75">
      <c r="K390" s="25"/>
      <c r="M390" s="26"/>
      <c r="N390" s="25"/>
      <c r="P390" s="26"/>
      <c r="Q390" s="25"/>
      <c r="S390" s="26"/>
      <c r="T390" s="25"/>
      <c r="V390" s="26"/>
      <c r="W390" s="25"/>
      <c r="Y390" s="26"/>
      <c r="Z390" s="25"/>
      <c r="AB390" s="26"/>
      <c r="BN390" s="24"/>
      <c r="BO390" s="21"/>
      <c r="BP390" s="21"/>
      <c r="BQ390" s="21"/>
      <c r="BS390" s="22"/>
      <c r="BT390" s="21"/>
      <c r="BU390" s="21"/>
      <c r="CB390" s="21"/>
      <c r="CC390" s="21"/>
      <c r="CD390" s="21"/>
      <c r="CE390" s="21"/>
      <c r="CF390" s="21"/>
      <c r="CI390" s="23"/>
      <c r="CJ390" s="21"/>
      <c r="CK390" s="21"/>
      <c r="CL390" s="21"/>
      <c r="CM390" s="21"/>
      <c r="CQ390" s="21"/>
      <c r="CR390" s="21"/>
      <c r="CS390" s="21"/>
    </row>
    <row r="391" spans="11:97" ht="15.75">
      <c r="K391" s="25"/>
      <c r="M391" s="26"/>
      <c r="N391" s="25"/>
      <c r="P391" s="26"/>
      <c r="Q391" s="25"/>
      <c r="S391" s="26"/>
      <c r="T391" s="25"/>
      <c r="V391" s="26"/>
      <c r="W391" s="25"/>
      <c r="Y391" s="26"/>
      <c r="Z391" s="25"/>
      <c r="AB391" s="26"/>
      <c r="BN391" s="24"/>
      <c r="BO391" s="21"/>
      <c r="BP391" s="21"/>
      <c r="BQ391" s="21"/>
      <c r="BS391" s="22"/>
      <c r="BT391" s="21"/>
      <c r="BU391" s="21"/>
      <c r="CB391" s="21"/>
      <c r="CC391" s="21"/>
      <c r="CD391" s="21"/>
      <c r="CE391" s="21"/>
      <c r="CF391" s="21"/>
      <c r="CI391" s="23"/>
      <c r="CJ391" s="21"/>
      <c r="CK391" s="21"/>
      <c r="CL391" s="21"/>
      <c r="CM391" s="21"/>
      <c r="CQ391" s="21"/>
      <c r="CR391" s="21"/>
      <c r="CS391" s="21"/>
    </row>
    <row r="392" spans="11:97" ht="15.75">
      <c r="K392" s="25"/>
      <c r="M392" s="26"/>
      <c r="N392" s="25"/>
      <c r="P392" s="26"/>
      <c r="Q392" s="25"/>
      <c r="S392" s="26"/>
      <c r="T392" s="25"/>
      <c r="V392" s="26"/>
      <c r="W392" s="25"/>
      <c r="Y392" s="26"/>
      <c r="Z392" s="25"/>
      <c r="AB392" s="26"/>
      <c r="BN392" s="24"/>
      <c r="BO392" s="21"/>
      <c r="BP392" s="21"/>
      <c r="BQ392" s="21"/>
      <c r="BS392" s="22"/>
      <c r="BT392" s="21"/>
      <c r="BU392" s="21"/>
      <c r="CB392" s="21"/>
      <c r="CC392" s="21"/>
      <c r="CD392" s="21"/>
      <c r="CE392" s="21"/>
      <c r="CF392" s="21"/>
      <c r="CI392" s="23"/>
      <c r="CJ392" s="21"/>
      <c r="CK392" s="21"/>
      <c r="CL392" s="21"/>
      <c r="CM392" s="21"/>
      <c r="CQ392" s="21"/>
      <c r="CR392" s="21"/>
      <c r="CS392" s="21"/>
    </row>
    <row r="393" spans="11:97" ht="15.75">
      <c r="K393" s="25"/>
      <c r="M393" s="26"/>
      <c r="N393" s="25"/>
      <c r="P393" s="26"/>
      <c r="Q393" s="25"/>
      <c r="S393" s="26"/>
      <c r="T393" s="25"/>
      <c r="V393" s="26"/>
      <c r="W393" s="25"/>
      <c r="Y393" s="26"/>
      <c r="Z393" s="25"/>
      <c r="AB393" s="26"/>
      <c r="BN393" s="24"/>
      <c r="BO393" s="21"/>
      <c r="BP393" s="21"/>
      <c r="BQ393" s="21"/>
      <c r="BS393" s="22"/>
      <c r="BT393" s="21"/>
      <c r="BU393" s="21"/>
      <c r="CB393" s="21"/>
      <c r="CC393" s="21"/>
      <c r="CD393" s="21"/>
      <c r="CE393" s="21"/>
      <c r="CF393" s="21"/>
      <c r="CI393" s="23"/>
      <c r="CJ393" s="21"/>
      <c r="CK393" s="21"/>
      <c r="CL393" s="21"/>
      <c r="CM393" s="21"/>
      <c r="CQ393" s="21"/>
      <c r="CR393" s="21"/>
      <c r="CS393" s="21"/>
    </row>
    <row r="394" spans="11:97" ht="15.75">
      <c r="K394" s="25"/>
      <c r="M394" s="26"/>
      <c r="N394" s="25"/>
      <c r="P394" s="26"/>
      <c r="Q394" s="25"/>
      <c r="S394" s="26"/>
      <c r="T394" s="25"/>
      <c r="V394" s="26"/>
      <c r="W394" s="25"/>
      <c r="Y394" s="26"/>
      <c r="Z394" s="25"/>
      <c r="AB394" s="26"/>
      <c r="BN394" s="24"/>
      <c r="BO394" s="21"/>
      <c r="BP394" s="21"/>
      <c r="BQ394" s="21"/>
      <c r="BS394" s="22"/>
      <c r="BT394" s="21"/>
      <c r="BU394" s="21"/>
      <c r="CB394" s="21"/>
      <c r="CC394" s="21"/>
      <c r="CD394" s="21"/>
      <c r="CE394" s="21"/>
      <c r="CF394" s="21"/>
      <c r="CI394" s="23"/>
      <c r="CJ394" s="21"/>
      <c r="CK394" s="21"/>
      <c r="CL394" s="21"/>
      <c r="CM394" s="21"/>
      <c r="CQ394" s="21"/>
      <c r="CR394" s="21"/>
      <c r="CS394" s="21"/>
    </row>
    <row r="395" spans="11:97" ht="15.75">
      <c r="K395" s="25"/>
      <c r="M395" s="26"/>
      <c r="N395" s="25"/>
      <c r="P395" s="26"/>
      <c r="Q395" s="25"/>
      <c r="S395" s="26"/>
      <c r="T395" s="25"/>
      <c r="V395" s="26"/>
      <c r="W395" s="25"/>
      <c r="Y395" s="26"/>
      <c r="Z395" s="25"/>
      <c r="AB395" s="26"/>
      <c r="BN395" s="24"/>
      <c r="BO395" s="21"/>
      <c r="BP395" s="21"/>
      <c r="BQ395" s="21"/>
      <c r="BS395" s="22"/>
      <c r="BT395" s="21"/>
      <c r="BU395" s="21"/>
      <c r="CB395" s="21"/>
      <c r="CC395" s="21"/>
      <c r="CD395" s="21"/>
      <c r="CE395" s="21"/>
      <c r="CF395" s="21"/>
      <c r="CI395" s="23"/>
      <c r="CJ395" s="21"/>
      <c r="CK395" s="21"/>
      <c r="CL395" s="21"/>
      <c r="CM395" s="21"/>
      <c r="CQ395" s="21"/>
      <c r="CR395" s="21"/>
      <c r="CS395" s="21"/>
    </row>
    <row r="396" spans="11:97" ht="15.75">
      <c r="K396" s="25"/>
      <c r="M396" s="26"/>
      <c r="N396" s="25"/>
      <c r="P396" s="26"/>
      <c r="Q396" s="25"/>
      <c r="S396" s="26"/>
      <c r="T396" s="25"/>
      <c r="V396" s="26"/>
      <c r="W396" s="25"/>
      <c r="Y396" s="26"/>
      <c r="Z396" s="25"/>
      <c r="AB396" s="26"/>
      <c r="BN396" s="24"/>
      <c r="BO396" s="21"/>
      <c r="BP396" s="21"/>
      <c r="BQ396" s="21"/>
      <c r="BS396" s="22"/>
      <c r="BT396" s="21"/>
      <c r="BU396" s="21"/>
      <c r="CB396" s="21"/>
      <c r="CC396" s="21"/>
      <c r="CD396" s="21"/>
      <c r="CE396" s="21"/>
      <c r="CF396" s="21"/>
      <c r="CI396" s="23"/>
      <c r="CJ396" s="21"/>
      <c r="CK396" s="21"/>
      <c r="CL396" s="21"/>
      <c r="CM396" s="21"/>
      <c r="CQ396" s="21"/>
      <c r="CR396" s="21"/>
      <c r="CS396" s="21"/>
    </row>
    <row r="397" spans="11:97" ht="15.75">
      <c r="K397" s="25"/>
      <c r="M397" s="26"/>
      <c r="N397" s="25"/>
      <c r="P397" s="26"/>
      <c r="Q397" s="25"/>
      <c r="S397" s="26"/>
      <c r="T397" s="25"/>
      <c r="V397" s="26"/>
      <c r="W397" s="25"/>
      <c r="Y397" s="26"/>
      <c r="Z397" s="25"/>
      <c r="AB397" s="26"/>
      <c r="BN397" s="24"/>
      <c r="BO397" s="21"/>
      <c r="BP397" s="21"/>
      <c r="BQ397" s="21"/>
      <c r="BS397" s="22"/>
      <c r="BT397" s="21"/>
      <c r="BU397" s="21"/>
      <c r="CB397" s="21"/>
      <c r="CC397" s="21"/>
      <c r="CD397" s="21"/>
      <c r="CE397" s="21"/>
      <c r="CF397" s="21"/>
      <c r="CI397" s="23"/>
      <c r="CJ397" s="21"/>
      <c r="CK397" s="21"/>
      <c r="CL397" s="21"/>
      <c r="CM397" s="21"/>
      <c r="CQ397" s="21"/>
      <c r="CR397" s="21"/>
      <c r="CS397" s="21"/>
    </row>
    <row r="398" spans="11:97" ht="15.75">
      <c r="K398" s="25"/>
      <c r="M398" s="26"/>
      <c r="N398" s="25"/>
      <c r="P398" s="26"/>
      <c r="Q398" s="25"/>
      <c r="S398" s="26"/>
      <c r="T398" s="25"/>
      <c r="V398" s="26"/>
      <c r="W398" s="25"/>
      <c r="Y398" s="26"/>
      <c r="Z398" s="25"/>
      <c r="AB398" s="26"/>
      <c r="BN398" s="24"/>
      <c r="BO398" s="21"/>
      <c r="BP398" s="21"/>
      <c r="BQ398" s="21"/>
      <c r="BS398" s="22"/>
      <c r="BT398" s="21"/>
      <c r="BU398" s="21"/>
      <c r="CB398" s="21"/>
      <c r="CC398" s="21"/>
      <c r="CD398" s="21"/>
      <c r="CE398" s="21"/>
      <c r="CF398" s="21"/>
      <c r="CI398" s="23"/>
      <c r="CJ398" s="21"/>
      <c r="CK398" s="21"/>
      <c r="CL398" s="21"/>
      <c r="CM398" s="21"/>
      <c r="CQ398" s="21"/>
      <c r="CR398" s="21"/>
      <c r="CS398" s="21"/>
    </row>
    <row r="399" spans="11:97" ht="15.75">
      <c r="K399" s="25"/>
      <c r="M399" s="26"/>
      <c r="N399" s="25"/>
      <c r="P399" s="26"/>
      <c r="Q399" s="25"/>
      <c r="S399" s="26"/>
      <c r="T399" s="25"/>
      <c r="V399" s="26"/>
      <c r="W399" s="25"/>
      <c r="Y399" s="26"/>
      <c r="Z399" s="25"/>
      <c r="AB399" s="26"/>
      <c r="BN399" s="24"/>
      <c r="BO399" s="21"/>
      <c r="BP399" s="21"/>
      <c r="BQ399" s="21"/>
      <c r="BS399" s="22"/>
      <c r="BT399" s="21"/>
      <c r="BU399" s="21"/>
      <c r="CB399" s="21"/>
      <c r="CC399" s="21"/>
      <c r="CD399" s="21"/>
      <c r="CE399" s="21"/>
      <c r="CF399" s="21"/>
      <c r="CI399" s="23"/>
      <c r="CJ399" s="21"/>
      <c r="CK399" s="21"/>
      <c r="CL399" s="21"/>
      <c r="CM399" s="21"/>
      <c r="CQ399" s="21"/>
      <c r="CR399" s="21"/>
      <c r="CS399" s="21"/>
    </row>
    <row r="400" spans="11:97" ht="15.75">
      <c r="K400" s="25"/>
      <c r="M400" s="26"/>
      <c r="N400" s="25"/>
      <c r="P400" s="26"/>
      <c r="Q400" s="25"/>
      <c r="S400" s="26"/>
      <c r="T400" s="25"/>
      <c r="V400" s="26"/>
      <c r="W400" s="25"/>
      <c r="Y400" s="26"/>
      <c r="Z400" s="25"/>
      <c r="AB400" s="26"/>
      <c r="BN400" s="24"/>
      <c r="BO400" s="21"/>
      <c r="BP400" s="21"/>
      <c r="BQ400" s="21"/>
      <c r="BS400" s="22"/>
      <c r="BT400" s="21"/>
      <c r="BU400" s="21"/>
      <c r="CB400" s="21"/>
      <c r="CC400" s="21"/>
      <c r="CD400" s="21"/>
      <c r="CE400" s="21"/>
      <c r="CF400" s="21"/>
      <c r="CI400" s="23"/>
      <c r="CJ400" s="21"/>
      <c r="CK400" s="21"/>
      <c r="CL400" s="21"/>
      <c r="CM400" s="21"/>
      <c r="CQ400" s="21"/>
      <c r="CR400" s="21"/>
      <c r="CS400" s="21"/>
    </row>
    <row r="401" spans="11:97" ht="15.75">
      <c r="K401" s="25"/>
      <c r="M401" s="26"/>
      <c r="N401" s="25"/>
      <c r="P401" s="26"/>
      <c r="Q401" s="25"/>
      <c r="S401" s="26"/>
      <c r="T401" s="25"/>
      <c r="V401" s="26"/>
      <c r="W401" s="25"/>
      <c r="Y401" s="26"/>
      <c r="Z401" s="25"/>
      <c r="AB401" s="26"/>
      <c r="BN401" s="24"/>
      <c r="BO401" s="21"/>
      <c r="BP401" s="21"/>
      <c r="BQ401" s="21"/>
      <c r="BS401" s="22"/>
      <c r="BT401" s="21"/>
      <c r="BU401" s="21"/>
      <c r="CB401" s="21"/>
      <c r="CC401" s="21"/>
      <c r="CD401" s="21"/>
      <c r="CE401" s="21"/>
      <c r="CF401" s="21"/>
      <c r="CI401" s="23"/>
      <c r="CJ401" s="21"/>
      <c r="CK401" s="21"/>
      <c r="CL401" s="21"/>
      <c r="CM401" s="21"/>
      <c r="CQ401" s="21"/>
      <c r="CR401" s="21"/>
      <c r="CS401" s="21"/>
    </row>
    <row r="402" spans="11:97" ht="15.75">
      <c r="K402" s="25"/>
      <c r="M402" s="26"/>
      <c r="N402" s="25"/>
      <c r="P402" s="26"/>
      <c r="Q402" s="25"/>
      <c r="S402" s="26"/>
      <c r="T402" s="25"/>
      <c r="V402" s="26"/>
      <c r="W402" s="25"/>
      <c r="Y402" s="26"/>
      <c r="Z402" s="25"/>
      <c r="AB402" s="26"/>
      <c r="BN402" s="24"/>
      <c r="BO402" s="21"/>
      <c r="BP402" s="21"/>
      <c r="BQ402" s="21"/>
      <c r="BS402" s="22"/>
      <c r="BT402" s="21"/>
      <c r="BU402" s="21"/>
      <c r="CB402" s="21"/>
      <c r="CC402" s="21"/>
      <c r="CD402" s="21"/>
      <c r="CE402" s="21"/>
      <c r="CF402" s="21"/>
      <c r="CI402" s="23"/>
      <c r="CJ402" s="21"/>
      <c r="CK402" s="21"/>
      <c r="CL402" s="21"/>
      <c r="CM402" s="21"/>
      <c r="CQ402" s="21"/>
      <c r="CR402" s="21"/>
      <c r="CS402" s="21"/>
    </row>
    <row r="403" spans="11:97" ht="15.75">
      <c r="K403" s="25"/>
      <c r="M403" s="26"/>
      <c r="N403" s="25"/>
      <c r="P403" s="26"/>
      <c r="Q403" s="25"/>
      <c r="S403" s="26"/>
      <c r="T403" s="25"/>
      <c r="V403" s="26"/>
      <c r="W403" s="25"/>
      <c r="Y403" s="26"/>
      <c r="Z403" s="25"/>
      <c r="AB403" s="26"/>
      <c r="BN403" s="24"/>
      <c r="BO403" s="21"/>
      <c r="BP403" s="21"/>
      <c r="BQ403" s="21"/>
      <c r="BS403" s="22"/>
      <c r="BT403" s="21"/>
      <c r="BU403" s="21"/>
      <c r="CB403" s="21"/>
      <c r="CC403" s="21"/>
      <c r="CD403" s="21"/>
      <c r="CE403" s="21"/>
      <c r="CF403" s="21"/>
      <c r="CI403" s="23"/>
      <c r="CJ403" s="21"/>
      <c r="CK403" s="21"/>
      <c r="CL403" s="21"/>
      <c r="CM403" s="21"/>
      <c r="CQ403" s="21"/>
      <c r="CR403" s="21"/>
      <c r="CS403" s="21"/>
    </row>
    <row r="404" spans="11:97" ht="15.75">
      <c r="K404" s="25"/>
      <c r="M404" s="26"/>
      <c r="N404" s="25"/>
      <c r="P404" s="26"/>
      <c r="Q404" s="25"/>
      <c r="S404" s="26"/>
      <c r="T404" s="25"/>
      <c r="V404" s="26"/>
      <c r="W404" s="25"/>
      <c r="Y404" s="26"/>
      <c r="Z404" s="25"/>
      <c r="AB404" s="26"/>
      <c r="BN404" s="24"/>
      <c r="BO404" s="21"/>
      <c r="BP404" s="21"/>
      <c r="BQ404" s="21"/>
      <c r="BS404" s="22"/>
      <c r="BT404" s="21"/>
      <c r="BU404" s="21"/>
      <c r="CB404" s="21"/>
      <c r="CC404" s="21"/>
      <c r="CD404" s="21"/>
      <c r="CE404" s="21"/>
      <c r="CF404" s="21"/>
      <c r="CI404" s="23"/>
      <c r="CJ404" s="21"/>
      <c r="CK404" s="21"/>
      <c r="CL404" s="21"/>
      <c r="CM404" s="21"/>
      <c r="CQ404" s="21"/>
      <c r="CR404" s="21"/>
      <c r="CS404" s="21"/>
    </row>
    <row r="405" spans="11:97" ht="15.75">
      <c r="K405" s="25"/>
      <c r="M405" s="26"/>
      <c r="N405" s="25"/>
      <c r="P405" s="26"/>
      <c r="Q405" s="25"/>
      <c r="S405" s="26"/>
      <c r="T405" s="25"/>
      <c r="V405" s="26"/>
      <c r="W405" s="25"/>
      <c r="Y405" s="26"/>
      <c r="Z405" s="25"/>
      <c r="AB405" s="26"/>
      <c r="BN405" s="24"/>
      <c r="BO405" s="21"/>
      <c r="BP405" s="21"/>
      <c r="BQ405" s="21"/>
      <c r="BS405" s="22"/>
      <c r="BT405" s="21"/>
      <c r="BU405" s="21"/>
      <c r="CB405" s="21"/>
      <c r="CC405" s="21"/>
      <c r="CD405" s="21"/>
      <c r="CE405" s="21"/>
      <c r="CF405" s="21"/>
      <c r="CI405" s="23"/>
      <c r="CJ405" s="21"/>
      <c r="CK405" s="21"/>
      <c r="CL405" s="21"/>
      <c r="CM405" s="21"/>
      <c r="CQ405" s="21"/>
      <c r="CR405" s="21"/>
      <c r="CS405" s="21"/>
    </row>
    <row r="406" spans="11:97" ht="15.75">
      <c r="K406" s="25"/>
      <c r="M406" s="26"/>
      <c r="N406" s="25"/>
      <c r="P406" s="26"/>
      <c r="Q406" s="25"/>
      <c r="S406" s="26"/>
      <c r="T406" s="25"/>
      <c r="V406" s="26"/>
      <c r="W406" s="25"/>
      <c r="Y406" s="26"/>
      <c r="Z406" s="25"/>
      <c r="AB406" s="26"/>
      <c r="BN406" s="24"/>
      <c r="BO406" s="21"/>
      <c r="BP406" s="21"/>
      <c r="BQ406" s="21"/>
      <c r="BS406" s="22"/>
      <c r="BT406" s="21"/>
      <c r="BU406" s="21"/>
      <c r="CB406" s="21"/>
      <c r="CC406" s="21"/>
      <c r="CD406" s="21"/>
      <c r="CE406" s="21"/>
      <c r="CF406" s="21"/>
      <c r="CI406" s="23"/>
      <c r="CJ406" s="21"/>
      <c r="CK406" s="21"/>
      <c r="CL406" s="21"/>
      <c r="CM406" s="21"/>
      <c r="CQ406" s="21"/>
      <c r="CR406" s="21"/>
      <c r="CS406" s="21"/>
    </row>
    <row r="407" spans="11:97" ht="15.75">
      <c r="K407" s="25"/>
      <c r="M407" s="26"/>
      <c r="N407" s="25"/>
      <c r="P407" s="26"/>
      <c r="Q407" s="25"/>
      <c r="S407" s="26"/>
      <c r="T407" s="25"/>
      <c r="V407" s="26"/>
      <c r="W407" s="25"/>
      <c r="Y407" s="26"/>
      <c r="Z407" s="25"/>
      <c r="AB407" s="26"/>
      <c r="BN407" s="24"/>
      <c r="BO407" s="21"/>
      <c r="BP407" s="21"/>
      <c r="BQ407" s="21"/>
      <c r="BS407" s="22"/>
      <c r="BT407" s="21"/>
      <c r="BU407" s="21"/>
      <c r="CB407" s="21"/>
      <c r="CC407" s="21"/>
      <c r="CD407" s="21"/>
      <c r="CE407" s="21"/>
      <c r="CF407" s="21"/>
      <c r="CI407" s="23"/>
      <c r="CJ407" s="21"/>
      <c r="CK407" s="21"/>
      <c r="CL407" s="21"/>
      <c r="CM407" s="21"/>
      <c r="CQ407" s="21"/>
      <c r="CR407" s="21"/>
      <c r="CS407" s="21"/>
    </row>
    <row r="408" spans="11:97" ht="15.75">
      <c r="K408" s="25"/>
      <c r="M408" s="26"/>
      <c r="N408" s="25"/>
      <c r="P408" s="26"/>
      <c r="Q408" s="25"/>
      <c r="S408" s="26"/>
      <c r="T408" s="25"/>
      <c r="V408" s="26"/>
      <c r="W408" s="25"/>
      <c r="Y408" s="26"/>
      <c r="Z408" s="25"/>
      <c r="AB408" s="26"/>
      <c r="BN408" s="24"/>
      <c r="BO408" s="21"/>
      <c r="BP408" s="21"/>
      <c r="BQ408" s="21"/>
      <c r="BS408" s="22"/>
      <c r="BT408" s="21"/>
      <c r="BU408" s="21"/>
      <c r="CB408" s="21"/>
      <c r="CC408" s="21"/>
      <c r="CD408" s="21"/>
      <c r="CE408" s="21"/>
      <c r="CF408" s="21"/>
      <c r="CI408" s="23"/>
      <c r="CJ408" s="21"/>
      <c r="CK408" s="21"/>
      <c r="CL408" s="21"/>
      <c r="CM408" s="21"/>
      <c r="CQ408" s="21"/>
      <c r="CR408" s="21"/>
      <c r="CS408" s="21"/>
    </row>
    <row r="409" spans="11:97" ht="15.75">
      <c r="K409" s="25"/>
      <c r="M409" s="26"/>
      <c r="N409" s="25"/>
      <c r="P409" s="26"/>
      <c r="Q409" s="25"/>
      <c r="S409" s="26"/>
      <c r="T409" s="25"/>
      <c r="V409" s="26"/>
      <c r="W409" s="25"/>
      <c r="Y409" s="26"/>
      <c r="Z409" s="25"/>
      <c r="AB409" s="26"/>
      <c r="BN409" s="24"/>
      <c r="BO409" s="21"/>
      <c r="BP409" s="21"/>
      <c r="BQ409" s="21"/>
      <c r="BS409" s="22"/>
      <c r="BT409" s="21"/>
      <c r="BU409" s="21"/>
      <c r="CB409" s="21"/>
      <c r="CC409" s="21"/>
      <c r="CD409" s="21"/>
      <c r="CE409" s="21"/>
      <c r="CF409" s="21"/>
      <c r="CI409" s="23"/>
      <c r="CJ409" s="21"/>
      <c r="CK409" s="21"/>
      <c r="CL409" s="21"/>
      <c r="CM409" s="21"/>
      <c r="CQ409" s="21"/>
      <c r="CR409" s="21"/>
      <c r="CS409" s="21"/>
    </row>
    <row r="410" spans="11:97" ht="15.75">
      <c r="K410" s="25"/>
      <c r="M410" s="26"/>
      <c r="N410" s="25"/>
      <c r="P410" s="26"/>
      <c r="Q410" s="25"/>
      <c r="S410" s="26"/>
      <c r="T410" s="25"/>
      <c r="V410" s="26"/>
      <c r="W410" s="25"/>
      <c r="Y410" s="26"/>
      <c r="Z410" s="25"/>
      <c r="AB410" s="26"/>
      <c r="BN410" s="24"/>
      <c r="BO410" s="21"/>
      <c r="BP410" s="21"/>
      <c r="BQ410" s="21"/>
      <c r="BS410" s="22"/>
      <c r="BT410" s="21"/>
      <c r="BU410" s="21"/>
      <c r="CB410" s="21"/>
      <c r="CC410" s="21"/>
      <c r="CD410" s="21"/>
      <c r="CE410" s="21"/>
      <c r="CF410" s="21"/>
      <c r="CI410" s="23"/>
      <c r="CJ410" s="21"/>
      <c r="CK410" s="21"/>
      <c r="CL410" s="21"/>
      <c r="CM410" s="21"/>
      <c r="CQ410" s="21"/>
      <c r="CR410" s="21"/>
      <c r="CS410" s="21"/>
    </row>
    <row r="411" spans="11:97" ht="15.75">
      <c r="K411" s="25"/>
      <c r="M411" s="26"/>
      <c r="N411" s="25"/>
      <c r="P411" s="26"/>
      <c r="Q411" s="25"/>
      <c r="S411" s="26"/>
      <c r="T411" s="25"/>
      <c r="V411" s="26"/>
      <c r="W411" s="25"/>
      <c r="Y411" s="26"/>
      <c r="Z411" s="25"/>
      <c r="AB411" s="26"/>
      <c r="BN411" s="24"/>
      <c r="BO411" s="21"/>
      <c r="BP411" s="21"/>
      <c r="BQ411" s="21"/>
      <c r="BS411" s="22"/>
      <c r="BT411" s="21"/>
      <c r="BU411" s="21"/>
      <c r="CB411" s="21"/>
      <c r="CC411" s="21"/>
      <c r="CD411" s="21"/>
      <c r="CE411" s="21"/>
      <c r="CF411" s="21"/>
      <c r="CI411" s="23"/>
      <c r="CJ411" s="21"/>
      <c r="CK411" s="21"/>
      <c r="CL411" s="21"/>
      <c r="CM411" s="21"/>
      <c r="CQ411" s="21"/>
      <c r="CR411" s="21"/>
      <c r="CS411" s="21"/>
    </row>
    <row r="412" spans="11:97" ht="15.75">
      <c r="K412" s="25"/>
      <c r="M412" s="26"/>
      <c r="N412" s="25"/>
      <c r="P412" s="26"/>
      <c r="Q412" s="25"/>
      <c r="S412" s="26"/>
      <c r="T412" s="25"/>
      <c r="V412" s="26"/>
      <c r="W412" s="25"/>
      <c r="Y412" s="26"/>
      <c r="Z412" s="25"/>
      <c r="AB412" s="26"/>
      <c r="BN412" s="24"/>
      <c r="BO412" s="21"/>
      <c r="BP412" s="21"/>
      <c r="BQ412" s="21"/>
      <c r="BS412" s="22"/>
      <c r="BT412" s="21"/>
      <c r="BU412" s="21"/>
      <c r="CB412" s="21"/>
      <c r="CC412" s="21"/>
      <c r="CD412" s="21"/>
      <c r="CE412" s="21"/>
      <c r="CF412" s="21"/>
      <c r="CI412" s="23"/>
      <c r="CJ412" s="21"/>
      <c r="CK412" s="21"/>
      <c r="CL412" s="21"/>
      <c r="CM412" s="21"/>
      <c r="CQ412" s="21"/>
      <c r="CR412" s="21"/>
      <c r="CS412" s="21"/>
    </row>
    <row r="413" spans="11:97" ht="15.75">
      <c r="K413" s="25"/>
      <c r="M413" s="26"/>
      <c r="N413" s="25"/>
      <c r="P413" s="26"/>
      <c r="Q413" s="25"/>
      <c r="S413" s="26"/>
      <c r="T413" s="25"/>
      <c r="V413" s="26"/>
      <c r="W413" s="25"/>
      <c r="Y413" s="26"/>
      <c r="Z413" s="25"/>
      <c r="AB413" s="26"/>
      <c r="BN413" s="24"/>
      <c r="BO413" s="21"/>
      <c r="BP413" s="21"/>
      <c r="BQ413" s="21"/>
      <c r="BS413" s="22"/>
      <c r="BT413" s="21"/>
      <c r="BU413" s="21"/>
      <c r="CB413" s="21"/>
      <c r="CC413" s="21"/>
      <c r="CD413" s="21"/>
      <c r="CE413" s="21"/>
      <c r="CF413" s="21"/>
      <c r="CI413" s="23"/>
      <c r="CJ413" s="21"/>
      <c r="CK413" s="21"/>
      <c r="CL413" s="21"/>
      <c r="CM413" s="21"/>
      <c r="CQ413" s="21"/>
      <c r="CR413" s="21"/>
      <c r="CS413" s="21"/>
    </row>
    <row r="414" spans="11:97" ht="15.75">
      <c r="K414" s="25"/>
      <c r="M414" s="26"/>
      <c r="N414" s="25"/>
      <c r="P414" s="26"/>
      <c r="Q414" s="25"/>
      <c r="S414" s="26"/>
      <c r="T414" s="25"/>
      <c r="V414" s="26"/>
      <c r="W414" s="25"/>
      <c r="Y414" s="26"/>
      <c r="Z414" s="25"/>
      <c r="AB414" s="26"/>
      <c r="BN414" s="24"/>
      <c r="BO414" s="21"/>
      <c r="BP414" s="21"/>
      <c r="BQ414" s="21"/>
      <c r="BS414" s="22"/>
      <c r="BT414" s="21"/>
      <c r="BU414" s="21"/>
      <c r="CB414" s="21"/>
      <c r="CC414" s="21"/>
      <c r="CD414" s="21"/>
      <c r="CE414" s="21"/>
      <c r="CF414" s="21"/>
      <c r="CI414" s="23"/>
      <c r="CJ414" s="21"/>
      <c r="CK414" s="21"/>
      <c r="CL414" s="21"/>
      <c r="CM414" s="21"/>
      <c r="CQ414" s="21"/>
      <c r="CR414" s="21"/>
      <c r="CS414" s="21"/>
    </row>
    <row r="415" spans="11:97" ht="15.75">
      <c r="K415" s="25"/>
      <c r="M415" s="26"/>
      <c r="N415" s="25"/>
      <c r="P415" s="26"/>
      <c r="Q415" s="25"/>
      <c r="S415" s="26"/>
      <c r="T415" s="25"/>
      <c r="V415" s="26"/>
      <c r="W415" s="25"/>
      <c r="Y415" s="26"/>
      <c r="Z415" s="25"/>
      <c r="AB415" s="26"/>
      <c r="BN415" s="24"/>
      <c r="BO415" s="21"/>
      <c r="BP415" s="21"/>
      <c r="BQ415" s="21"/>
      <c r="BS415" s="22"/>
      <c r="BT415" s="21"/>
      <c r="BU415" s="21"/>
      <c r="CB415" s="21"/>
      <c r="CC415" s="21"/>
      <c r="CD415" s="21"/>
      <c r="CE415" s="21"/>
      <c r="CF415" s="21"/>
      <c r="CI415" s="23"/>
      <c r="CJ415" s="21"/>
      <c r="CK415" s="21"/>
      <c r="CL415" s="21"/>
      <c r="CM415" s="21"/>
      <c r="CQ415" s="21"/>
      <c r="CR415" s="21"/>
      <c r="CS415" s="21"/>
    </row>
    <row r="416" spans="11:97" ht="15.75">
      <c r="K416" s="25"/>
      <c r="M416" s="26"/>
      <c r="N416" s="25"/>
      <c r="P416" s="26"/>
      <c r="Q416" s="25"/>
      <c r="S416" s="26"/>
      <c r="T416" s="25"/>
      <c r="V416" s="26"/>
      <c r="W416" s="25"/>
      <c r="Y416" s="26"/>
      <c r="Z416" s="25"/>
      <c r="AB416" s="26"/>
      <c r="BN416" s="24"/>
      <c r="BO416" s="21"/>
      <c r="BP416" s="21"/>
      <c r="BQ416" s="21"/>
      <c r="BS416" s="22"/>
      <c r="BT416" s="21"/>
      <c r="BU416" s="21"/>
      <c r="CB416" s="21"/>
      <c r="CC416" s="21"/>
      <c r="CD416" s="21"/>
      <c r="CE416" s="21"/>
      <c r="CF416" s="21"/>
      <c r="CI416" s="23"/>
      <c r="CJ416" s="21"/>
      <c r="CK416" s="21"/>
      <c r="CL416" s="21"/>
      <c r="CM416" s="21"/>
      <c r="CQ416" s="21"/>
      <c r="CR416" s="21"/>
      <c r="CS416" s="21"/>
    </row>
    <row r="417" spans="11:97" ht="15.75">
      <c r="K417" s="25"/>
      <c r="M417" s="26"/>
      <c r="N417" s="25"/>
      <c r="P417" s="26"/>
      <c r="Q417" s="25"/>
      <c r="S417" s="26"/>
      <c r="T417" s="25"/>
      <c r="V417" s="26"/>
      <c r="W417" s="25"/>
      <c r="Y417" s="26"/>
      <c r="Z417" s="25"/>
      <c r="AB417" s="26"/>
      <c r="BN417" s="24"/>
      <c r="BO417" s="21"/>
      <c r="BP417" s="21"/>
      <c r="BQ417" s="21"/>
      <c r="BS417" s="22"/>
      <c r="BT417" s="21"/>
      <c r="BU417" s="21"/>
      <c r="CB417" s="21"/>
      <c r="CC417" s="21"/>
      <c r="CD417" s="21"/>
      <c r="CE417" s="21"/>
      <c r="CF417" s="21"/>
      <c r="CI417" s="23"/>
      <c r="CJ417" s="21"/>
      <c r="CK417" s="21"/>
      <c r="CL417" s="21"/>
      <c r="CM417" s="21"/>
      <c r="CQ417" s="21"/>
      <c r="CR417" s="21"/>
      <c r="CS417" s="21"/>
    </row>
    <row r="418" spans="11:97" ht="15.75">
      <c r="K418" s="25"/>
      <c r="M418" s="26"/>
      <c r="N418" s="25"/>
      <c r="P418" s="26"/>
      <c r="Q418" s="25"/>
      <c r="S418" s="26"/>
      <c r="T418" s="25"/>
      <c r="V418" s="26"/>
      <c r="W418" s="25"/>
      <c r="Y418" s="26"/>
      <c r="Z418" s="25"/>
      <c r="AB418" s="26"/>
      <c r="BN418" s="24"/>
      <c r="BO418" s="21"/>
      <c r="BP418" s="21"/>
      <c r="BQ418" s="21"/>
      <c r="BS418" s="22"/>
      <c r="BT418" s="21"/>
      <c r="BU418" s="21"/>
      <c r="CB418" s="21"/>
      <c r="CC418" s="21"/>
      <c r="CD418" s="21"/>
      <c r="CE418" s="21"/>
      <c r="CF418" s="21"/>
      <c r="CI418" s="23"/>
      <c r="CJ418" s="21"/>
      <c r="CK418" s="21"/>
      <c r="CL418" s="21"/>
      <c r="CM418" s="21"/>
      <c r="CQ418" s="21"/>
      <c r="CR418" s="21"/>
      <c r="CS418" s="21"/>
    </row>
    <row r="419" spans="11:97" ht="15.75">
      <c r="K419" s="25"/>
      <c r="M419" s="26"/>
      <c r="N419" s="25"/>
      <c r="P419" s="26"/>
      <c r="Q419" s="25"/>
      <c r="S419" s="26"/>
      <c r="T419" s="25"/>
      <c r="V419" s="26"/>
      <c r="W419" s="25"/>
      <c r="Y419" s="26"/>
      <c r="Z419" s="25"/>
      <c r="AB419" s="26"/>
      <c r="BN419" s="24"/>
      <c r="BO419" s="21"/>
      <c r="BP419" s="21"/>
      <c r="BQ419" s="21"/>
      <c r="BS419" s="22"/>
      <c r="BT419" s="21"/>
      <c r="BU419" s="21"/>
      <c r="CB419" s="21"/>
      <c r="CC419" s="21"/>
      <c r="CD419" s="21"/>
      <c r="CE419" s="21"/>
      <c r="CF419" s="21"/>
      <c r="CI419" s="23"/>
      <c r="CJ419" s="21"/>
      <c r="CK419" s="21"/>
      <c r="CL419" s="21"/>
      <c r="CM419" s="21"/>
      <c r="CQ419" s="21"/>
      <c r="CR419" s="21"/>
      <c r="CS419" s="21"/>
    </row>
    <row r="420" spans="11:97" ht="15.75">
      <c r="K420" s="25"/>
      <c r="M420" s="26"/>
      <c r="N420" s="25"/>
      <c r="P420" s="26"/>
      <c r="Q420" s="25"/>
      <c r="S420" s="26"/>
      <c r="T420" s="25"/>
      <c r="V420" s="26"/>
      <c r="W420" s="25"/>
      <c r="Y420" s="26"/>
      <c r="Z420" s="25"/>
      <c r="AB420" s="26"/>
      <c r="BN420" s="24"/>
      <c r="BO420" s="21"/>
      <c r="BP420" s="21"/>
      <c r="BQ420" s="21"/>
      <c r="BS420" s="22"/>
      <c r="BT420" s="21"/>
      <c r="BU420" s="21"/>
      <c r="CB420" s="21"/>
      <c r="CC420" s="21"/>
      <c r="CD420" s="21"/>
      <c r="CE420" s="21"/>
      <c r="CF420" s="21"/>
      <c r="CI420" s="23"/>
      <c r="CJ420" s="21"/>
      <c r="CK420" s="21"/>
      <c r="CL420" s="21"/>
      <c r="CM420" s="21"/>
      <c r="CQ420" s="21"/>
      <c r="CR420" s="21"/>
      <c r="CS420" s="21"/>
    </row>
    <row r="421" spans="11:97" ht="15.75">
      <c r="K421" s="25"/>
      <c r="M421" s="26"/>
      <c r="N421" s="25"/>
      <c r="P421" s="26"/>
      <c r="Q421" s="25"/>
      <c r="S421" s="26"/>
      <c r="T421" s="25"/>
      <c r="V421" s="26"/>
      <c r="W421" s="25"/>
      <c r="Y421" s="26"/>
      <c r="Z421" s="25"/>
      <c r="AB421" s="26"/>
      <c r="BN421" s="24"/>
      <c r="BO421" s="21"/>
      <c r="BP421" s="21"/>
      <c r="BQ421" s="21"/>
      <c r="BS421" s="22"/>
      <c r="BT421" s="21"/>
      <c r="BU421" s="21"/>
      <c r="CB421" s="21"/>
      <c r="CC421" s="21"/>
      <c r="CD421" s="21"/>
      <c r="CE421" s="21"/>
      <c r="CF421" s="21"/>
      <c r="CI421" s="23"/>
      <c r="CJ421" s="21"/>
      <c r="CK421" s="21"/>
      <c r="CL421" s="21"/>
      <c r="CM421" s="21"/>
      <c r="CQ421" s="21"/>
      <c r="CR421" s="21"/>
      <c r="CS421" s="21"/>
    </row>
    <row r="422" spans="11:97" ht="15.75">
      <c r="K422" s="25"/>
      <c r="M422" s="26"/>
      <c r="N422" s="25"/>
      <c r="P422" s="26"/>
      <c r="Q422" s="25"/>
      <c r="S422" s="26"/>
      <c r="T422" s="25"/>
      <c r="V422" s="26"/>
      <c r="W422" s="25"/>
      <c r="Y422" s="26"/>
      <c r="Z422" s="25"/>
      <c r="AB422" s="26"/>
      <c r="BN422" s="24"/>
      <c r="BO422" s="21"/>
      <c r="BP422" s="21"/>
      <c r="BQ422" s="21"/>
      <c r="BS422" s="22"/>
      <c r="BT422" s="21"/>
      <c r="BU422" s="21"/>
      <c r="CB422" s="21"/>
      <c r="CC422" s="21"/>
      <c r="CD422" s="21"/>
      <c r="CE422" s="21"/>
      <c r="CF422" s="21"/>
      <c r="CI422" s="23"/>
      <c r="CJ422" s="21"/>
      <c r="CK422" s="21"/>
      <c r="CL422" s="21"/>
      <c r="CM422" s="21"/>
      <c r="CQ422" s="21"/>
      <c r="CR422" s="21"/>
      <c r="CS422" s="21"/>
    </row>
    <row r="423" spans="11:97" ht="15.75">
      <c r="K423" s="25"/>
      <c r="M423" s="26"/>
      <c r="N423" s="25"/>
      <c r="P423" s="26"/>
      <c r="Q423" s="25"/>
      <c r="S423" s="26"/>
      <c r="T423" s="25"/>
      <c r="V423" s="26"/>
      <c r="W423" s="25"/>
      <c r="Y423" s="26"/>
      <c r="Z423" s="25"/>
      <c r="AB423" s="26"/>
      <c r="BN423" s="24"/>
      <c r="BO423" s="21"/>
      <c r="BP423" s="21"/>
      <c r="BQ423" s="21"/>
      <c r="BS423" s="22"/>
      <c r="BT423" s="21"/>
      <c r="BU423" s="21"/>
      <c r="CB423" s="21"/>
      <c r="CC423" s="21"/>
      <c r="CD423" s="21"/>
      <c r="CE423" s="21"/>
      <c r="CF423" s="21"/>
      <c r="CI423" s="23"/>
      <c r="CJ423" s="21"/>
      <c r="CK423" s="21"/>
      <c r="CL423" s="21"/>
      <c r="CM423" s="21"/>
      <c r="CQ423" s="21"/>
      <c r="CR423" s="21"/>
      <c r="CS423" s="21"/>
    </row>
    <row r="424" spans="11:97" ht="15.75">
      <c r="K424" s="25"/>
      <c r="M424" s="26"/>
      <c r="N424" s="25"/>
      <c r="P424" s="26"/>
      <c r="Q424" s="25"/>
      <c r="S424" s="26"/>
      <c r="T424" s="25"/>
      <c r="V424" s="26"/>
      <c r="W424" s="25"/>
      <c r="Y424" s="26"/>
      <c r="Z424" s="25"/>
      <c r="AB424" s="26"/>
      <c r="BN424" s="24"/>
      <c r="BO424" s="21"/>
      <c r="BP424" s="21"/>
      <c r="BQ424" s="21"/>
      <c r="BS424" s="22"/>
      <c r="BT424" s="21"/>
      <c r="BU424" s="21"/>
      <c r="CB424" s="21"/>
      <c r="CC424" s="21"/>
      <c r="CD424" s="21"/>
      <c r="CE424" s="21"/>
      <c r="CF424" s="21"/>
      <c r="CI424" s="23"/>
      <c r="CJ424" s="21"/>
      <c r="CK424" s="21"/>
      <c r="CL424" s="21"/>
      <c r="CM424" s="21"/>
      <c r="CQ424" s="21"/>
      <c r="CR424" s="21"/>
      <c r="CS424" s="21"/>
    </row>
    <row r="425" spans="11:97" ht="15.75">
      <c r="K425" s="25"/>
      <c r="M425" s="26"/>
      <c r="N425" s="25"/>
      <c r="P425" s="26"/>
      <c r="Q425" s="25"/>
      <c r="S425" s="26"/>
      <c r="T425" s="25"/>
      <c r="V425" s="26"/>
      <c r="W425" s="25"/>
      <c r="Y425" s="26"/>
      <c r="Z425" s="25"/>
      <c r="AB425" s="26"/>
      <c r="BN425" s="24"/>
      <c r="BO425" s="21"/>
      <c r="BP425" s="21"/>
      <c r="BQ425" s="21"/>
      <c r="BS425" s="22"/>
      <c r="BT425" s="21"/>
      <c r="BU425" s="21"/>
      <c r="CB425" s="21"/>
      <c r="CC425" s="21"/>
      <c r="CD425" s="21"/>
      <c r="CE425" s="21"/>
      <c r="CF425" s="21"/>
      <c r="CI425" s="23"/>
      <c r="CJ425" s="21"/>
      <c r="CK425" s="21"/>
      <c r="CL425" s="21"/>
      <c r="CM425" s="21"/>
      <c r="CQ425" s="21"/>
      <c r="CR425" s="21"/>
      <c r="CS425" s="21"/>
    </row>
    <row r="426" spans="11:97" ht="15.75">
      <c r="K426" s="25"/>
      <c r="M426" s="26"/>
      <c r="N426" s="25"/>
      <c r="P426" s="26"/>
      <c r="Q426" s="25"/>
      <c r="S426" s="26"/>
      <c r="T426" s="25"/>
      <c r="V426" s="26"/>
      <c r="W426" s="25"/>
      <c r="Y426" s="26"/>
      <c r="Z426" s="25"/>
      <c r="AB426" s="26"/>
      <c r="BN426" s="24"/>
      <c r="BO426" s="21"/>
      <c r="BP426" s="21"/>
      <c r="BQ426" s="21"/>
      <c r="BS426" s="22"/>
      <c r="BT426" s="21"/>
      <c r="BU426" s="21"/>
      <c r="CB426" s="21"/>
      <c r="CC426" s="21"/>
      <c r="CD426" s="21"/>
      <c r="CE426" s="21"/>
      <c r="CF426" s="21"/>
      <c r="CI426" s="23"/>
      <c r="CJ426" s="21"/>
      <c r="CK426" s="21"/>
      <c r="CL426" s="21"/>
      <c r="CM426" s="21"/>
      <c r="CQ426" s="21"/>
      <c r="CR426" s="21"/>
      <c r="CS426" s="21"/>
    </row>
    <row r="427" spans="11:97" ht="15.75">
      <c r="K427" s="25"/>
      <c r="M427" s="26"/>
      <c r="N427" s="25"/>
      <c r="P427" s="26"/>
      <c r="Q427" s="25"/>
      <c r="S427" s="26"/>
      <c r="T427" s="25"/>
      <c r="V427" s="26"/>
      <c r="W427" s="25"/>
      <c r="Y427" s="26"/>
      <c r="Z427" s="25"/>
      <c r="AB427" s="26"/>
      <c r="BN427" s="24"/>
      <c r="BO427" s="21"/>
      <c r="BP427" s="21"/>
      <c r="BQ427" s="21"/>
      <c r="BS427" s="22"/>
      <c r="BT427" s="21"/>
      <c r="BU427" s="21"/>
      <c r="CB427" s="21"/>
      <c r="CC427" s="21"/>
      <c r="CD427" s="21"/>
      <c r="CE427" s="21"/>
      <c r="CF427" s="21"/>
      <c r="CI427" s="23"/>
      <c r="CJ427" s="21"/>
      <c r="CK427" s="21"/>
      <c r="CL427" s="21"/>
      <c r="CM427" s="21"/>
      <c r="CQ427" s="21"/>
      <c r="CR427" s="21"/>
      <c r="CS427" s="21"/>
    </row>
    <row r="428" spans="11:97" ht="15.75">
      <c r="K428" s="25"/>
      <c r="M428" s="26"/>
      <c r="N428" s="25"/>
      <c r="P428" s="26"/>
      <c r="Q428" s="25"/>
      <c r="S428" s="26"/>
      <c r="T428" s="25"/>
      <c r="V428" s="26"/>
      <c r="W428" s="25"/>
      <c r="Y428" s="26"/>
      <c r="Z428" s="25"/>
      <c r="AB428" s="26"/>
      <c r="BN428" s="24"/>
      <c r="BO428" s="21"/>
      <c r="BP428" s="21"/>
      <c r="BQ428" s="21"/>
      <c r="BS428" s="22"/>
      <c r="BT428" s="21"/>
      <c r="BU428" s="21"/>
      <c r="CB428" s="21"/>
      <c r="CC428" s="21"/>
      <c r="CD428" s="21"/>
      <c r="CE428" s="21"/>
      <c r="CF428" s="21"/>
      <c r="CI428" s="23"/>
      <c r="CJ428" s="21"/>
      <c r="CK428" s="21"/>
      <c r="CL428" s="21"/>
      <c r="CM428" s="21"/>
      <c r="CQ428" s="21"/>
      <c r="CR428" s="21"/>
      <c r="CS428" s="21"/>
    </row>
    <row r="429" spans="11:97" ht="15.75">
      <c r="K429" s="25"/>
      <c r="M429" s="26"/>
      <c r="N429" s="25"/>
      <c r="P429" s="26"/>
      <c r="Q429" s="25"/>
      <c r="S429" s="26"/>
      <c r="T429" s="25"/>
      <c r="V429" s="26"/>
      <c r="W429" s="25"/>
      <c r="Y429" s="26"/>
      <c r="Z429" s="25"/>
      <c r="AB429" s="26"/>
      <c r="BN429" s="24"/>
      <c r="BO429" s="21"/>
      <c r="BP429" s="21"/>
      <c r="BQ429" s="21"/>
      <c r="BS429" s="22"/>
      <c r="BT429" s="21"/>
      <c r="BU429" s="21"/>
      <c r="CB429" s="21"/>
      <c r="CC429" s="21"/>
      <c r="CD429" s="21"/>
      <c r="CE429" s="21"/>
      <c r="CF429" s="21"/>
      <c r="CI429" s="23"/>
      <c r="CJ429" s="21"/>
      <c r="CK429" s="21"/>
      <c r="CL429" s="21"/>
      <c r="CM429" s="21"/>
      <c r="CQ429" s="21"/>
      <c r="CR429" s="21"/>
      <c r="CS429" s="21"/>
    </row>
    <row r="430" spans="11:97" ht="15.75">
      <c r="K430" s="25"/>
      <c r="M430" s="26"/>
      <c r="N430" s="25"/>
      <c r="P430" s="26"/>
      <c r="Q430" s="25"/>
      <c r="S430" s="26"/>
      <c r="T430" s="25"/>
      <c r="V430" s="26"/>
      <c r="W430" s="25"/>
      <c r="Y430" s="26"/>
      <c r="Z430" s="25"/>
      <c r="AB430" s="26"/>
      <c r="BN430" s="24"/>
      <c r="BO430" s="21"/>
      <c r="BP430" s="21"/>
      <c r="BQ430" s="21"/>
      <c r="BS430" s="22"/>
      <c r="BT430" s="21"/>
      <c r="BU430" s="21"/>
      <c r="CB430" s="21"/>
      <c r="CC430" s="21"/>
      <c r="CD430" s="21"/>
      <c r="CE430" s="21"/>
      <c r="CF430" s="21"/>
      <c r="CI430" s="23"/>
      <c r="CJ430" s="21"/>
      <c r="CK430" s="21"/>
      <c r="CL430" s="21"/>
      <c r="CM430" s="21"/>
      <c r="CQ430" s="21"/>
      <c r="CR430" s="21"/>
      <c r="CS430" s="21"/>
    </row>
    <row r="431" spans="11:97" ht="15.75">
      <c r="K431" s="25"/>
      <c r="M431" s="26"/>
      <c r="N431" s="25"/>
      <c r="P431" s="26"/>
      <c r="Q431" s="25"/>
      <c r="S431" s="26"/>
      <c r="T431" s="25"/>
      <c r="V431" s="26"/>
      <c r="W431" s="25"/>
      <c r="Y431" s="26"/>
      <c r="Z431" s="25"/>
      <c r="AB431" s="26"/>
      <c r="BN431" s="24"/>
      <c r="BO431" s="21"/>
      <c r="BP431" s="21"/>
      <c r="BQ431" s="21"/>
      <c r="BS431" s="22"/>
      <c r="BT431" s="21"/>
      <c r="BU431" s="21"/>
      <c r="CB431" s="21"/>
      <c r="CC431" s="21"/>
      <c r="CD431" s="21"/>
      <c r="CE431" s="21"/>
      <c r="CF431" s="21"/>
      <c r="CI431" s="23"/>
      <c r="CJ431" s="21"/>
      <c r="CK431" s="21"/>
      <c r="CL431" s="21"/>
      <c r="CM431" s="21"/>
      <c r="CQ431" s="21"/>
      <c r="CR431" s="21"/>
      <c r="CS431" s="21"/>
    </row>
    <row r="432" spans="11:97" ht="15.75">
      <c r="K432" s="25"/>
      <c r="M432" s="26"/>
      <c r="N432" s="25"/>
      <c r="P432" s="26"/>
      <c r="Q432" s="25"/>
      <c r="S432" s="26"/>
      <c r="T432" s="25"/>
      <c r="V432" s="26"/>
      <c r="W432" s="25"/>
      <c r="Y432" s="26"/>
      <c r="Z432" s="25"/>
      <c r="AB432" s="26"/>
      <c r="BN432" s="24"/>
      <c r="BO432" s="21"/>
      <c r="BP432" s="21"/>
      <c r="BQ432" s="21"/>
      <c r="BS432" s="22"/>
      <c r="BT432" s="21"/>
      <c r="BU432" s="21"/>
      <c r="CB432" s="21"/>
      <c r="CC432" s="21"/>
      <c r="CD432" s="21"/>
      <c r="CE432" s="21"/>
      <c r="CF432" s="21"/>
      <c r="CI432" s="23"/>
      <c r="CJ432" s="21"/>
      <c r="CK432" s="21"/>
      <c r="CL432" s="21"/>
      <c r="CM432" s="21"/>
      <c r="CQ432" s="21"/>
      <c r="CR432" s="21"/>
      <c r="CS432" s="21"/>
    </row>
    <row r="433" spans="3:97" ht="15.75">
      <c r="K433" s="25"/>
      <c r="M433" s="26"/>
      <c r="N433" s="25"/>
      <c r="P433" s="26"/>
      <c r="Q433" s="25"/>
      <c r="S433" s="26"/>
      <c r="T433" s="25"/>
      <c r="V433" s="26"/>
      <c r="W433" s="25"/>
      <c r="Y433" s="26"/>
      <c r="Z433" s="25"/>
      <c r="AB433" s="26"/>
      <c r="BN433" s="24"/>
      <c r="BO433" s="21"/>
      <c r="BP433" s="21"/>
      <c r="BQ433" s="21"/>
      <c r="BS433" s="22"/>
      <c r="BT433" s="21"/>
      <c r="BU433" s="21"/>
      <c r="CB433" s="21"/>
      <c r="CC433" s="21"/>
      <c r="CD433" s="21"/>
      <c r="CE433" s="21"/>
      <c r="CF433" s="21"/>
      <c r="CI433" s="23"/>
      <c r="CJ433" s="21"/>
      <c r="CK433" s="21"/>
      <c r="CL433" s="21"/>
      <c r="CM433" s="21"/>
      <c r="CQ433" s="21"/>
      <c r="CR433" s="21"/>
      <c r="CS433" s="21"/>
    </row>
    <row r="434" spans="3:97" ht="15.75">
      <c r="K434" s="25"/>
      <c r="M434" s="26"/>
      <c r="N434" s="25"/>
      <c r="P434" s="26"/>
      <c r="Q434" s="25"/>
      <c r="S434" s="26"/>
      <c r="T434" s="25"/>
      <c r="V434" s="26"/>
      <c r="W434" s="25"/>
      <c r="Y434" s="26"/>
      <c r="Z434" s="25"/>
      <c r="AB434" s="26"/>
      <c r="BN434" s="24"/>
      <c r="BO434" s="21"/>
      <c r="BP434" s="21"/>
      <c r="BQ434" s="21"/>
      <c r="BS434" s="22"/>
      <c r="BT434" s="21"/>
      <c r="BU434" s="21"/>
      <c r="CB434" s="21"/>
      <c r="CC434" s="21"/>
      <c r="CD434" s="21"/>
      <c r="CE434" s="21"/>
      <c r="CF434" s="21"/>
      <c r="CI434" s="23"/>
      <c r="CJ434" s="21"/>
      <c r="CK434" s="21"/>
      <c r="CL434" s="21"/>
      <c r="CM434" s="21"/>
      <c r="CQ434" s="21"/>
      <c r="CR434" s="21"/>
      <c r="CS434" s="21"/>
    </row>
    <row r="435" spans="3:97" ht="15.75">
      <c r="K435" s="25"/>
      <c r="M435" s="26"/>
      <c r="N435" s="25"/>
      <c r="P435" s="26"/>
      <c r="Q435" s="25"/>
      <c r="S435" s="26"/>
      <c r="T435" s="25"/>
      <c r="V435" s="26"/>
      <c r="W435" s="25"/>
      <c r="Y435" s="26"/>
      <c r="Z435" s="25"/>
      <c r="AB435" s="26"/>
      <c r="BN435" s="24"/>
      <c r="BO435" s="21"/>
      <c r="BP435" s="21"/>
      <c r="BQ435" s="21"/>
      <c r="BS435" s="22"/>
      <c r="BT435" s="21"/>
      <c r="BU435" s="21"/>
      <c r="CB435" s="21"/>
      <c r="CC435" s="21"/>
      <c r="CD435" s="21"/>
      <c r="CE435" s="21"/>
      <c r="CF435" s="21"/>
      <c r="CI435" s="23"/>
      <c r="CJ435" s="21"/>
      <c r="CK435" s="21"/>
      <c r="CL435" s="21"/>
      <c r="CM435" s="21"/>
      <c r="CQ435" s="21"/>
      <c r="CR435" s="21"/>
      <c r="CS435" s="21"/>
    </row>
    <row r="436" spans="3:97" ht="15.75">
      <c r="K436" s="25"/>
      <c r="M436" s="26"/>
      <c r="N436" s="25"/>
      <c r="P436" s="26"/>
      <c r="Q436" s="25"/>
      <c r="S436" s="26"/>
      <c r="T436" s="25"/>
      <c r="V436" s="26"/>
      <c r="W436" s="25"/>
      <c r="Y436" s="26"/>
      <c r="Z436" s="25"/>
      <c r="AB436" s="26"/>
      <c r="BN436" s="24"/>
      <c r="BO436" s="21"/>
      <c r="BP436" s="21"/>
      <c r="BQ436" s="21"/>
      <c r="BS436" s="22"/>
      <c r="BT436" s="21"/>
      <c r="BU436" s="21"/>
      <c r="CB436" s="21"/>
      <c r="CC436" s="21"/>
      <c r="CD436" s="21"/>
      <c r="CE436" s="21"/>
      <c r="CF436" s="21"/>
      <c r="CI436" s="23"/>
      <c r="CJ436" s="21"/>
      <c r="CK436" s="21"/>
      <c r="CL436" s="21"/>
      <c r="CM436" s="21"/>
      <c r="CQ436" s="21"/>
      <c r="CR436" s="21"/>
      <c r="CS436" s="21"/>
    </row>
    <row r="437" spans="3:97" ht="15.75">
      <c r="K437" s="25"/>
      <c r="M437" s="26"/>
      <c r="N437" s="25"/>
      <c r="P437" s="26"/>
      <c r="Q437" s="25"/>
      <c r="S437" s="26"/>
      <c r="T437" s="25"/>
      <c r="V437" s="26"/>
      <c r="W437" s="25"/>
      <c r="Y437" s="26"/>
      <c r="Z437" s="25"/>
      <c r="AB437" s="26"/>
      <c r="BN437" s="24"/>
      <c r="BO437" s="21"/>
      <c r="BP437" s="21"/>
      <c r="BQ437" s="21"/>
      <c r="BS437" s="22"/>
      <c r="BT437" s="21"/>
      <c r="BU437" s="21"/>
      <c r="CB437" s="21"/>
      <c r="CC437" s="21"/>
      <c r="CD437" s="21"/>
      <c r="CE437" s="21"/>
      <c r="CF437" s="21"/>
      <c r="CI437" s="23"/>
      <c r="CJ437" s="21"/>
      <c r="CK437" s="21"/>
      <c r="CL437" s="21"/>
      <c r="CM437" s="21"/>
      <c r="CQ437" s="21"/>
      <c r="CR437" s="21"/>
      <c r="CS437" s="21"/>
    </row>
    <row r="438" spans="3:97" ht="15.75">
      <c r="K438" s="25"/>
      <c r="M438" s="26"/>
      <c r="N438" s="25"/>
      <c r="P438" s="26"/>
      <c r="Q438" s="25"/>
      <c r="S438" s="26"/>
      <c r="T438" s="25"/>
      <c r="V438" s="26"/>
      <c r="W438" s="25"/>
      <c r="Y438" s="26"/>
      <c r="Z438" s="25"/>
      <c r="AB438" s="26"/>
      <c r="BN438" s="24"/>
      <c r="BO438" s="21"/>
      <c r="BP438" s="21"/>
      <c r="BQ438" s="21"/>
      <c r="BS438" s="22"/>
      <c r="BT438" s="21"/>
      <c r="BU438" s="21"/>
      <c r="CB438" s="21"/>
      <c r="CC438" s="21"/>
      <c r="CD438" s="21"/>
      <c r="CE438" s="21"/>
      <c r="CF438" s="21"/>
      <c r="CI438" s="23"/>
      <c r="CJ438" s="21"/>
      <c r="CK438" s="21"/>
      <c r="CL438" s="21"/>
      <c r="CM438" s="21"/>
      <c r="CQ438" s="21"/>
      <c r="CR438" s="21"/>
      <c r="CS438" s="21"/>
    </row>
    <row r="439" spans="3:97" ht="15.75">
      <c r="K439" s="25"/>
      <c r="M439" s="26"/>
      <c r="N439" s="25"/>
      <c r="P439" s="26"/>
      <c r="Q439" s="25"/>
      <c r="S439" s="26"/>
      <c r="T439" s="25"/>
      <c r="V439" s="26"/>
      <c r="W439" s="25"/>
      <c r="Y439" s="26"/>
      <c r="Z439" s="25"/>
      <c r="AB439" s="26"/>
      <c r="BN439" s="24"/>
      <c r="BO439" s="21"/>
      <c r="BP439" s="21"/>
      <c r="BQ439" s="21"/>
      <c r="BS439" s="22"/>
      <c r="BT439" s="21"/>
      <c r="BU439" s="21"/>
      <c r="CB439" s="21"/>
      <c r="CC439" s="21"/>
      <c r="CD439" s="21"/>
      <c r="CE439" s="21"/>
      <c r="CF439" s="21"/>
      <c r="CI439" s="23"/>
      <c r="CJ439" s="21"/>
      <c r="CK439" s="21"/>
      <c r="CL439" s="21"/>
      <c r="CM439" s="21"/>
      <c r="CQ439" s="21"/>
      <c r="CR439" s="21"/>
      <c r="CS439" s="21"/>
    </row>
    <row r="440" spans="3:97" ht="15.75">
      <c r="K440" s="25"/>
      <c r="M440" s="26"/>
      <c r="N440" s="25"/>
      <c r="P440" s="26"/>
      <c r="Q440" s="25"/>
      <c r="S440" s="26"/>
      <c r="T440" s="25"/>
      <c r="V440" s="26"/>
      <c r="W440" s="25"/>
      <c r="Y440" s="26"/>
      <c r="Z440" s="25"/>
      <c r="AB440" s="26"/>
      <c r="BN440" s="24"/>
      <c r="BO440" s="21"/>
      <c r="BP440" s="21"/>
      <c r="BQ440" s="21"/>
      <c r="BS440" s="22"/>
      <c r="BT440" s="21"/>
      <c r="BU440" s="21"/>
      <c r="CB440" s="21"/>
      <c r="CC440" s="21"/>
      <c r="CD440" s="21"/>
      <c r="CE440" s="21"/>
      <c r="CF440" s="21"/>
      <c r="CI440" s="23"/>
      <c r="CJ440" s="21"/>
      <c r="CK440" s="21"/>
      <c r="CL440" s="21"/>
      <c r="CM440" s="21"/>
      <c r="CQ440" s="21"/>
      <c r="CR440" s="21"/>
      <c r="CS440" s="21"/>
    </row>
    <row r="441" spans="3:97" ht="15.75">
      <c r="K441" s="25"/>
      <c r="M441" s="26"/>
      <c r="N441" s="25"/>
      <c r="P441" s="26"/>
      <c r="Q441" s="25"/>
      <c r="S441" s="26"/>
      <c r="T441" s="25"/>
      <c r="V441" s="26"/>
      <c r="W441" s="25"/>
      <c r="Y441" s="26"/>
      <c r="Z441" s="25"/>
      <c r="AB441" s="26"/>
      <c r="BN441" s="24"/>
      <c r="BO441" s="21"/>
      <c r="BP441" s="21"/>
      <c r="BQ441" s="21"/>
      <c r="BS441" s="22"/>
      <c r="BT441" s="21"/>
      <c r="BU441" s="21"/>
      <c r="CB441" s="21"/>
      <c r="CC441" s="21"/>
      <c r="CD441" s="21"/>
      <c r="CE441" s="21"/>
      <c r="CF441" s="21"/>
      <c r="CI441" s="23"/>
      <c r="CJ441" s="21"/>
      <c r="CK441" s="21"/>
      <c r="CL441" s="21"/>
      <c r="CM441" s="21"/>
      <c r="CQ441" s="21"/>
      <c r="CR441" s="21"/>
      <c r="CS441" s="21"/>
    </row>
    <row r="442" spans="3:97" ht="15.75">
      <c r="K442" s="25"/>
      <c r="M442" s="26"/>
      <c r="N442" s="25"/>
      <c r="P442" s="26"/>
      <c r="Q442" s="25"/>
      <c r="S442" s="26"/>
      <c r="T442" s="25"/>
      <c r="V442" s="26"/>
      <c r="W442" s="25"/>
      <c r="Y442" s="26"/>
      <c r="Z442" s="25"/>
      <c r="AB442" s="26"/>
      <c r="BN442" s="24"/>
      <c r="BO442" s="21"/>
      <c r="BP442" s="21"/>
      <c r="BQ442" s="21"/>
      <c r="BS442" s="22"/>
      <c r="BT442" s="21"/>
      <c r="BU442" s="21"/>
      <c r="CB442" s="21"/>
      <c r="CC442" s="21"/>
      <c r="CD442" s="21"/>
      <c r="CE442" s="21"/>
      <c r="CF442" s="21"/>
      <c r="CI442" s="23"/>
      <c r="CJ442" s="21"/>
      <c r="CK442" s="21"/>
      <c r="CL442" s="21"/>
      <c r="CM442" s="21"/>
      <c r="CQ442" s="21"/>
      <c r="CR442" s="21"/>
      <c r="CS442" s="21"/>
    </row>
    <row r="443" spans="3:97" ht="15.75">
      <c r="K443" s="25"/>
      <c r="M443" s="26"/>
      <c r="N443" s="25"/>
      <c r="P443" s="26"/>
      <c r="Q443" s="25"/>
      <c r="S443" s="26"/>
      <c r="T443" s="25"/>
      <c r="V443" s="26"/>
      <c r="W443" s="25"/>
      <c r="Y443" s="26"/>
      <c r="Z443" s="25"/>
      <c r="AB443" s="26"/>
      <c r="BN443" s="24"/>
      <c r="BO443" s="21"/>
      <c r="BP443" s="21"/>
      <c r="BQ443" s="21"/>
      <c r="BS443" s="22"/>
      <c r="BT443" s="21"/>
      <c r="BU443" s="21"/>
      <c r="CB443" s="21"/>
      <c r="CC443" s="21"/>
      <c r="CD443" s="21"/>
      <c r="CE443" s="21"/>
      <c r="CF443" s="21"/>
      <c r="CI443" s="23"/>
      <c r="CJ443" s="21"/>
      <c r="CK443" s="21"/>
      <c r="CL443" s="21"/>
      <c r="CM443" s="21"/>
      <c r="CQ443" s="21"/>
      <c r="CR443" s="21"/>
      <c r="CS443" s="21"/>
    </row>
    <row r="444" spans="3:97" ht="15.75">
      <c r="C444" s="18"/>
      <c r="D444" s="18"/>
      <c r="E444" s="18"/>
      <c r="K444" s="25"/>
      <c r="M444" s="26"/>
      <c r="N444" s="25"/>
      <c r="P444" s="26"/>
      <c r="Q444" s="25"/>
      <c r="S444" s="26"/>
      <c r="T444" s="25"/>
      <c r="V444" s="26"/>
      <c r="W444" s="25"/>
      <c r="Y444" s="26"/>
      <c r="Z444" s="25"/>
      <c r="AB444" s="26"/>
      <c r="BN444" s="20"/>
      <c r="BO444" s="21"/>
      <c r="BP444" s="21"/>
      <c r="BQ444" s="21"/>
      <c r="BS444" s="22"/>
      <c r="BT444" s="21"/>
      <c r="BU444" s="21"/>
      <c r="CB444" s="21"/>
      <c r="CC444" s="21"/>
      <c r="CD444" s="21"/>
      <c r="CE444" s="21"/>
      <c r="CF444" s="21"/>
      <c r="CI444" s="23"/>
      <c r="CJ444" s="21"/>
      <c r="CK444" s="21"/>
      <c r="CL444" s="21"/>
      <c r="CM444" s="21"/>
      <c r="CQ444" s="21"/>
      <c r="CR444" s="21"/>
      <c r="CS444" s="21"/>
    </row>
    <row r="445" spans="3:97" ht="15.75">
      <c r="K445" s="25"/>
      <c r="M445" s="26"/>
      <c r="N445" s="25"/>
      <c r="P445" s="26"/>
      <c r="Q445" s="25"/>
      <c r="S445" s="26"/>
      <c r="T445" s="25"/>
      <c r="V445" s="26"/>
      <c r="W445" s="25"/>
      <c r="Y445" s="26"/>
      <c r="Z445" s="25"/>
      <c r="AB445" s="26"/>
      <c r="BN445" s="24"/>
      <c r="BO445" s="21"/>
      <c r="BP445" s="21"/>
      <c r="BQ445" s="21"/>
      <c r="BS445" s="22"/>
      <c r="BT445" s="21"/>
      <c r="BU445" s="21"/>
      <c r="CB445" s="21"/>
      <c r="CC445" s="21"/>
      <c r="CD445" s="21"/>
      <c r="CE445" s="21"/>
      <c r="CF445" s="21"/>
      <c r="CI445" s="23"/>
      <c r="CJ445" s="21"/>
      <c r="CK445" s="21"/>
      <c r="CL445" s="21"/>
      <c r="CM445" s="21"/>
      <c r="CQ445" s="21"/>
      <c r="CR445" s="21"/>
      <c r="CS445" s="21"/>
    </row>
    <row r="446" spans="3:97" ht="15.75">
      <c r="K446" s="25"/>
      <c r="M446" s="26"/>
      <c r="N446" s="25"/>
      <c r="P446" s="26"/>
      <c r="Q446" s="25"/>
      <c r="S446" s="26"/>
      <c r="T446" s="25"/>
      <c r="V446" s="26"/>
      <c r="W446" s="25"/>
      <c r="Y446" s="26"/>
      <c r="Z446" s="25"/>
      <c r="AB446" s="26"/>
      <c r="BN446" s="24"/>
      <c r="BO446" s="21"/>
      <c r="BP446" s="21"/>
      <c r="BQ446" s="21"/>
      <c r="BS446" s="22"/>
      <c r="BT446" s="21"/>
      <c r="BU446" s="21"/>
      <c r="CB446" s="21"/>
      <c r="CC446" s="21"/>
      <c r="CD446" s="21"/>
      <c r="CE446" s="21"/>
      <c r="CF446" s="21"/>
      <c r="CI446" s="23"/>
      <c r="CJ446" s="21"/>
      <c r="CK446" s="21"/>
      <c r="CL446" s="21"/>
      <c r="CM446" s="21"/>
      <c r="CQ446" s="21"/>
      <c r="CR446" s="21"/>
      <c r="CS446" s="21"/>
    </row>
    <row r="447" spans="3:97" ht="15.75">
      <c r="K447" s="25"/>
      <c r="M447" s="26"/>
      <c r="N447" s="25"/>
      <c r="P447" s="26"/>
      <c r="Q447" s="25"/>
      <c r="S447" s="26"/>
      <c r="T447" s="25"/>
      <c r="V447" s="26"/>
      <c r="W447" s="25"/>
      <c r="Y447" s="26"/>
      <c r="Z447" s="25"/>
      <c r="AB447" s="26"/>
      <c r="BN447" s="24"/>
      <c r="BO447" s="21"/>
      <c r="BP447" s="21"/>
      <c r="BQ447" s="21"/>
      <c r="BS447" s="22"/>
      <c r="BT447" s="21"/>
      <c r="BU447" s="21"/>
      <c r="CB447" s="21"/>
      <c r="CC447" s="21"/>
      <c r="CD447" s="21"/>
      <c r="CE447" s="21"/>
      <c r="CF447" s="21"/>
      <c r="CI447" s="23"/>
      <c r="CJ447" s="21"/>
      <c r="CK447" s="21"/>
      <c r="CL447" s="21"/>
      <c r="CM447" s="21"/>
      <c r="CQ447" s="21"/>
      <c r="CR447" s="21"/>
      <c r="CS447" s="21"/>
    </row>
    <row r="448" spans="3:97" ht="15.75">
      <c r="K448" s="25"/>
      <c r="M448" s="26"/>
      <c r="N448" s="25"/>
      <c r="P448" s="26"/>
      <c r="Q448" s="25"/>
      <c r="S448" s="26"/>
      <c r="T448" s="25"/>
      <c r="V448" s="26"/>
      <c r="W448" s="25"/>
      <c r="Y448" s="26"/>
      <c r="Z448" s="25"/>
      <c r="AB448" s="26"/>
      <c r="BN448" s="24"/>
      <c r="BO448" s="21"/>
      <c r="BP448" s="21"/>
      <c r="BQ448" s="21"/>
      <c r="BS448" s="22"/>
      <c r="BT448" s="21"/>
      <c r="BU448" s="21"/>
      <c r="CB448" s="21"/>
      <c r="CC448" s="21"/>
      <c r="CD448" s="21"/>
      <c r="CE448" s="21"/>
      <c r="CF448" s="21"/>
      <c r="CI448" s="23"/>
      <c r="CJ448" s="21"/>
      <c r="CK448" s="21"/>
      <c r="CL448" s="21"/>
      <c r="CM448" s="21"/>
      <c r="CQ448" s="21"/>
      <c r="CR448" s="21"/>
      <c r="CS448" s="21"/>
    </row>
    <row r="449" spans="11:97" ht="15.75">
      <c r="K449" s="25"/>
      <c r="M449" s="26"/>
      <c r="N449" s="25"/>
      <c r="P449" s="26"/>
      <c r="Q449" s="25"/>
      <c r="S449" s="26"/>
      <c r="T449" s="25"/>
      <c r="V449" s="26"/>
      <c r="W449" s="25"/>
      <c r="Y449" s="26"/>
      <c r="Z449" s="25"/>
      <c r="AB449" s="26"/>
      <c r="BN449" s="24"/>
      <c r="BO449" s="21"/>
      <c r="BP449" s="21"/>
      <c r="BQ449" s="21"/>
      <c r="BS449" s="22"/>
      <c r="BT449" s="21"/>
      <c r="BU449" s="21"/>
      <c r="CB449" s="21"/>
      <c r="CC449" s="21"/>
      <c r="CD449" s="21"/>
      <c r="CE449" s="21"/>
      <c r="CF449" s="21"/>
      <c r="CI449" s="23"/>
      <c r="CJ449" s="21"/>
      <c r="CK449" s="21"/>
      <c r="CL449" s="21"/>
      <c r="CM449" s="21"/>
      <c r="CQ449" s="21"/>
      <c r="CR449" s="21"/>
      <c r="CS449" s="21"/>
    </row>
    <row r="450" spans="11:97" ht="15.75">
      <c r="K450" s="25"/>
      <c r="M450" s="26"/>
      <c r="N450" s="25"/>
      <c r="P450" s="26"/>
      <c r="Q450" s="25"/>
      <c r="S450" s="26"/>
      <c r="T450" s="25"/>
      <c r="V450" s="26"/>
      <c r="W450" s="25"/>
      <c r="Y450" s="26"/>
      <c r="Z450" s="25"/>
      <c r="AB450" s="26"/>
      <c r="BN450" s="24"/>
      <c r="BO450" s="21"/>
      <c r="BP450" s="21"/>
      <c r="BQ450" s="21"/>
      <c r="BS450" s="22"/>
      <c r="BT450" s="21"/>
      <c r="BU450" s="21"/>
      <c r="CB450" s="21"/>
      <c r="CC450" s="21"/>
      <c r="CD450" s="21"/>
      <c r="CE450" s="21"/>
      <c r="CF450" s="21"/>
      <c r="CI450" s="23"/>
      <c r="CJ450" s="21"/>
      <c r="CK450" s="21"/>
      <c r="CL450" s="21"/>
      <c r="CM450" s="21"/>
      <c r="CQ450" s="21"/>
      <c r="CR450" s="21"/>
      <c r="CS450" s="21"/>
    </row>
    <row r="451" spans="11:97" ht="15.75">
      <c r="K451" s="25"/>
      <c r="M451" s="26"/>
      <c r="N451" s="25"/>
      <c r="P451" s="26"/>
      <c r="Q451" s="25"/>
      <c r="S451" s="26"/>
      <c r="T451" s="25"/>
      <c r="V451" s="26"/>
      <c r="W451" s="25"/>
      <c r="Y451" s="26"/>
      <c r="Z451" s="25"/>
      <c r="AB451" s="26"/>
      <c r="BN451" s="24"/>
      <c r="BO451" s="21"/>
      <c r="BP451" s="21"/>
      <c r="BQ451" s="21"/>
      <c r="BS451" s="22"/>
      <c r="BT451" s="21"/>
      <c r="BU451" s="21"/>
      <c r="CB451" s="21"/>
      <c r="CC451" s="21"/>
      <c r="CD451" s="21"/>
      <c r="CE451" s="21"/>
      <c r="CF451" s="21"/>
      <c r="CI451" s="23"/>
      <c r="CJ451" s="21"/>
      <c r="CK451" s="21"/>
      <c r="CL451" s="21"/>
      <c r="CM451" s="21"/>
      <c r="CQ451" s="21"/>
      <c r="CR451" s="21"/>
      <c r="CS451" s="21"/>
    </row>
    <row r="452" spans="11:97" ht="15.75">
      <c r="K452" s="25"/>
      <c r="M452" s="26"/>
      <c r="N452" s="25"/>
      <c r="P452" s="26"/>
      <c r="Q452" s="25"/>
      <c r="S452" s="26"/>
      <c r="T452" s="25"/>
      <c r="V452" s="26"/>
      <c r="W452" s="25"/>
      <c r="Y452" s="26"/>
      <c r="Z452" s="25"/>
      <c r="AB452" s="26"/>
      <c r="BN452" s="24"/>
      <c r="BO452" s="21"/>
      <c r="BP452" s="21"/>
      <c r="BQ452" s="21"/>
      <c r="BS452" s="22"/>
      <c r="BT452" s="21"/>
      <c r="BU452" s="21"/>
      <c r="CB452" s="21"/>
      <c r="CC452" s="21"/>
      <c r="CD452" s="21"/>
      <c r="CE452" s="21"/>
      <c r="CF452" s="21"/>
      <c r="CI452" s="23"/>
      <c r="CJ452" s="21"/>
      <c r="CK452" s="21"/>
      <c r="CL452" s="21"/>
      <c r="CM452" s="21"/>
      <c r="CQ452" s="21"/>
      <c r="CR452" s="21"/>
      <c r="CS452" s="21"/>
    </row>
    <row r="453" spans="11:97" ht="15.75">
      <c r="K453" s="25"/>
      <c r="M453" s="26"/>
      <c r="N453" s="25"/>
      <c r="P453" s="26"/>
      <c r="Q453" s="25"/>
      <c r="S453" s="26"/>
      <c r="T453" s="25"/>
      <c r="V453" s="26"/>
      <c r="W453" s="25"/>
      <c r="Y453" s="26"/>
      <c r="Z453" s="25"/>
      <c r="AB453" s="26"/>
      <c r="BN453" s="24"/>
      <c r="BO453" s="21"/>
      <c r="BP453" s="21"/>
      <c r="BQ453" s="21"/>
      <c r="BS453" s="22"/>
      <c r="BT453" s="21"/>
      <c r="BU453" s="21"/>
      <c r="CB453" s="21"/>
      <c r="CC453" s="21"/>
      <c r="CD453" s="21"/>
      <c r="CE453" s="21"/>
      <c r="CF453" s="21"/>
      <c r="CI453" s="23"/>
      <c r="CJ453" s="21"/>
      <c r="CK453" s="21"/>
      <c r="CL453" s="21"/>
      <c r="CM453" s="21"/>
      <c r="CQ453" s="21"/>
      <c r="CR453" s="21"/>
      <c r="CS453" s="21"/>
    </row>
    <row r="454" spans="11:97" ht="15.75">
      <c r="K454" s="25"/>
      <c r="M454" s="26"/>
      <c r="N454" s="25"/>
      <c r="P454" s="26"/>
      <c r="Q454" s="25"/>
      <c r="S454" s="26"/>
      <c r="T454" s="25"/>
      <c r="V454" s="26"/>
      <c r="W454" s="25"/>
      <c r="Y454" s="26"/>
      <c r="Z454" s="25"/>
      <c r="AB454" s="26"/>
      <c r="BN454" s="24"/>
      <c r="BO454" s="21"/>
      <c r="BP454" s="21"/>
      <c r="BQ454" s="21"/>
      <c r="BS454" s="22"/>
      <c r="BT454" s="21"/>
      <c r="BU454" s="21"/>
      <c r="CB454" s="21"/>
      <c r="CC454" s="21"/>
      <c r="CD454" s="21"/>
      <c r="CE454" s="21"/>
      <c r="CF454" s="21"/>
      <c r="CI454" s="23"/>
      <c r="CJ454" s="21"/>
      <c r="CK454" s="21"/>
      <c r="CL454" s="21"/>
      <c r="CM454" s="21"/>
      <c r="CQ454" s="21"/>
      <c r="CR454" s="21"/>
      <c r="CS454" s="21"/>
    </row>
    <row r="455" spans="11:97" ht="15.75">
      <c r="K455" s="25"/>
      <c r="M455" s="26"/>
      <c r="N455" s="25"/>
      <c r="P455" s="26"/>
      <c r="Q455" s="25"/>
      <c r="S455" s="26"/>
      <c r="T455" s="25"/>
      <c r="V455" s="26"/>
      <c r="W455" s="25"/>
      <c r="Y455" s="26"/>
      <c r="Z455" s="25"/>
      <c r="AB455" s="26"/>
      <c r="BN455" s="24"/>
      <c r="BO455" s="21"/>
      <c r="BP455" s="21"/>
      <c r="BQ455" s="21"/>
      <c r="BS455" s="22"/>
      <c r="BT455" s="21"/>
      <c r="BU455" s="21"/>
      <c r="CB455" s="21"/>
      <c r="CC455" s="21"/>
      <c r="CD455" s="21"/>
      <c r="CE455" s="21"/>
      <c r="CF455" s="21"/>
      <c r="CI455" s="23"/>
      <c r="CJ455" s="21"/>
      <c r="CK455" s="21"/>
      <c r="CL455" s="21"/>
      <c r="CM455" s="21"/>
      <c r="CQ455" s="21"/>
      <c r="CR455" s="21"/>
      <c r="CS455" s="21"/>
    </row>
    <row r="456" spans="11:97" ht="15.75">
      <c r="K456" s="25"/>
      <c r="M456" s="26"/>
      <c r="N456" s="25"/>
      <c r="P456" s="26"/>
      <c r="Q456" s="25"/>
      <c r="S456" s="26"/>
      <c r="T456" s="25"/>
      <c r="V456" s="26"/>
      <c r="W456" s="25"/>
      <c r="Y456" s="26"/>
      <c r="Z456" s="25"/>
      <c r="AB456" s="26"/>
      <c r="BN456" s="24"/>
      <c r="BO456" s="21"/>
      <c r="BP456" s="21"/>
      <c r="BQ456" s="21"/>
      <c r="BS456" s="22"/>
      <c r="BT456" s="21"/>
      <c r="BU456" s="21"/>
      <c r="CB456" s="21"/>
      <c r="CC456" s="21"/>
      <c r="CD456" s="21"/>
      <c r="CE456" s="21"/>
      <c r="CF456" s="21"/>
      <c r="CI456" s="23"/>
      <c r="CJ456" s="21"/>
      <c r="CK456" s="21"/>
      <c r="CL456" s="21"/>
      <c r="CM456" s="21"/>
      <c r="CQ456" s="21"/>
      <c r="CR456" s="21"/>
      <c r="CS456" s="21"/>
    </row>
    <row r="457" spans="11:97" ht="15.75">
      <c r="K457" s="25"/>
      <c r="M457" s="26"/>
      <c r="N457" s="25"/>
      <c r="P457" s="26"/>
      <c r="Q457" s="25"/>
      <c r="S457" s="26"/>
      <c r="T457" s="25"/>
      <c r="V457" s="26"/>
      <c r="W457" s="25"/>
      <c r="Y457" s="26"/>
      <c r="Z457" s="25"/>
      <c r="AB457" s="26"/>
      <c r="BN457" s="24"/>
      <c r="BO457" s="21"/>
      <c r="BP457" s="21"/>
      <c r="BQ457" s="21"/>
      <c r="BS457" s="22"/>
      <c r="BT457" s="21"/>
      <c r="BU457" s="21"/>
      <c r="CB457" s="21"/>
      <c r="CC457" s="21"/>
      <c r="CD457" s="21"/>
      <c r="CE457" s="21"/>
      <c r="CF457" s="21"/>
      <c r="CI457" s="23"/>
      <c r="CJ457" s="21"/>
      <c r="CK457" s="21"/>
      <c r="CL457" s="21"/>
      <c r="CM457" s="21"/>
      <c r="CQ457" s="21"/>
      <c r="CR457" s="21"/>
      <c r="CS457" s="21"/>
    </row>
    <row r="458" spans="11:97" ht="15.75">
      <c r="K458" s="25"/>
      <c r="M458" s="26"/>
      <c r="N458" s="25"/>
      <c r="P458" s="26"/>
      <c r="Q458" s="25"/>
      <c r="S458" s="26"/>
      <c r="T458" s="25"/>
      <c r="V458" s="26"/>
      <c r="W458" s="25"/>
      <c r="Y458" s="26"/>
      <c r="Z458" s="25"/>
      <c r="AB458" s="26"/>
      <c r="BN458" s="24"/>
      <c r="BO458" s="21"/>
      <c r="BP458" s="21"/>
      <c r="BQ458" s="21"/>
      <c r="BS458" s="22"/>
      <c r="BT458" s="21"/>
      <c r="BU458" s="21"/>
      <c r="CB458" s="21"/>
      <c r="CC458" s="21"/>
      <c r="CD458" s="21"/>
      <c r="CE458" s="21"/>
      <c r="CF458" s="21"/>
      <c r="CI458" s="23"/>
      <c r="CJ458" s="21"/>
      <c r="CK458" s="21"/>
      <c r="CL458" s="21"/>
      <c r="CM458" s="21"/>
      <c r="CQ458" s="21"/>
      <c r="CR458" s="21"/>
      <c r="CS458" s="21"/>
    </row>
    <row r="459" spans="11:97" ht="15.75">
      <c r="K459" s="25"/>
      <c r="M459" s="26"/>
      <c r="N459" s="25"/>
      <c r="P459" s="26"/>
      <c r="Q459" s="25"/>
      <c r="S459" s="26"/>
      <c r="T459" s="25"/>
      <c r="V459" s="26"/>
      <c r="W459" s="25"/>
      <c r="Y459" s="26"/>
      <c r="Z459" s="25"/>
      <c r="AB459" s="26"/>
      <c r="BN459" s="24"/>
      <c r="BO459" s="21"/>
      <c r="BP459" s="21"/>
      <c r="BQ459" s="21"/>
      <c r="BS459" s="22"/>
      <c r="BT459" s="21"/>
      <c r="BU459" s="21"/>
      <c r="CB459" s="21"/>
      <c r="CC459" s="21"/>
      <c r="CD459" s="21"/>
      <c r="CE459" s="21"/>
      <c r="CF459" s="21"/>
      <c r="CI459" s="23"/>
      <c r="CJ459" s="21"/>
      <c r="CK459" s="21"/>
      <c r="CL459" s="21"/>
      <c r="CM459" s="21"/>
      <c r="CQ459" s="21"/>
      <c r="CR459" s="21"/>
      <c r="CS459" s="21"/>
    </row>
    <row r="460" spans="11:97" ht="15.75">
      <c r="K460" s="25"/>
      <c r="M460" s="26"/>
      <c r="N460" s="25"/>
      <c r="P460" s="26"/>
      <c r="Q460" s="25"/>
      <c r="S460" s="26"/>
      <c r="T460" s="25"/>
      <c r="V460" s="26"/>
      <c r="W460" s="25"/>
      <c r="Y460" s="26"/>
      <c r="Z460" s="25"/>
      <c r="AB460" s="26"/>
      <c r="BN460" s="24"/>
      <c r="BO460" s="21"/>
      <c r="BP460" s="21"/>
      <c r="BQ460" s="21"/>
      <c r="BS460" s="22"/>
      <c r="BT460" s="21"/>
      <c r="BU460" s="21"/>
      <c r="CB460" s="21"/>
      <c r="CC460" s="21"/>
      <c r="CD460" s="21"/>
      <c r="CE460" s="21"/>
      <c r="CF460" s="21"/>
      <c r="CI460" s="23"/>
      <c r="CJ460" s="21"/>
      <c r="CK460" s="21"/>
      <c r="CL460" s="21"/>
      <c r="CM460" s="21"/>
      <c r="CQ460" s="21"/>
      <c r="CR460" s="21"/>
      <c r="CS460" s="21"/>
    </row>
    <row r="461" spans="11:97" ht="15.75">
      <c r="K461" s="25"/>
      <c r="M461" s="26"/>
      <c r="N461" s="25"/>
      <c r="P461" s="26"/>
      <c r="Q461" s="25"/>
      <c r="S461" s="26"/>
      <c r="T461" s="25"/>
      <c r="V461" s="26"/>
      <c r="W461" s="25"/>
      <c r="Y461" s="26"/>
      <c r="Z461" s="25"/>
      <c r="AB461" s="26"/>
      <c r="BN461" s="24"/>
      <c r="BO461" s="21"/>
      <c r="BP461" s="21"/>
      <c r="BQ461" s="21"/>
      <c r="BS461" s="22"/>
      <c r="BT461" s="21"/>
      <c r="BU461" s="21"/>
      <c r="CB461" s="21"/>
      <c r="CC461" s="21"/>
      <c r="CD461" s="21"/>
      <c r="CE461" s="21"/>
      <c r="CF461" s="21"/>
      <c r="CI461" s="23"/>
      <c r="CJ461" s="21"/>
      <c r="CK461" s="21"/>
      <c r="CL461" s="21"/>
      <c r="CM461" s="21"/>
      <c r="CQ461" s="21"/>
      <c r="CR461" s="21"/>
      <c r="CS461" s="21"/>
    </row>
    <row r="462" spans="11:97" ht="15.75">
      <c r="K462" s="25"/>
      <c r="M462" s="26"/>
      <c r="N462" s="25"/>
      <c r="P462" s="26"/>
      <c r="Q462" s="25"/>
      <c r="S462" s="26"/>
      <c r="T462" s="25"/>
      <c r="V462" s="26"/>
      <c r="W462" s="25"/>
      <c r="Y462" s="26"/>
      <c r="Z462" s="25"/>
      <c r="AB462" s="26"/>
      <c r="BN462" s="24"/>
      <c r="BO462" s="21"/>
      <c r="BP462" s="21"/>
      <c r="BQ462" s="21"/>
      <c r="BS462" s="22"/>
      <c r="BT462" s="21"/>
      <c r="BU462" s="21"/>
      <c r="CB462" s="21"/>
      <c r="CC462" s="21"/>
      <c r="CD462" s="21"/>
      <c r="CE462" s="21"/>
      <c r="CF462" s="21"/>
      <c r="CI462" s="23"/>
      <c r="CJ462" s="21"/>
      <c r="CK462" s="21"/>
      <c r="CL462" s="21"/>
      <c r="CM462" s="21"/>
      <c r="CQ462" s="21"/>
      <c r="CR462" s="21"/>
      <c r="CS462" s="21"/>
    </row>
    <row r="463" spans="11:97" ht="15.75">
      <c r="K463" s="25"/>
      <c r="M463" s="26"/>
      <c r="N463" s="25"/>
      <c r="P463" s="26"/>
      <c r="Q463" s="25"/>
      <c r="S463" s="26"/>
      <c r="T463" s="25"/>
      <c r="V463" s="26"/>
      <c r="W463" s="25"/>
      <c r="Y463" s="26"/>
      <c r="Z463" s="25"/>
      <c r="AB463" s="26"/>
      <c r="BN463" s="24"/>
      <c r="BO463" s="21"/>
      <c r="BP463" s="21"/>
      <c r="BQ463" s="21"/>
      <c r="BS463" s="22"/>
      <c r="BT463" s="21"/>
      <c r="BU463" s="21"/>
      <c r="CB463" s="21"/>
      <c r="CC463" s="21"/>
      <c r="CD463" s="21"/>
      <c r="CE463" s="21"/>
      <c r="CF463" s="21"/>
      <c r="CI463" s="23"/>
      <c r="CJ463" s="21"/>
      <c r="CK463" s="21"/>
      <c r="CL463" s="21"/>
      <c r="CM463" s="21"/>
      <c r="CQ463" s="21"/>
      <c r="CR463" s="21"/>
      <c r="CS463" s="21"/>
    </row>
    <row r="464" spans="11:97" ht="15.75">
      <c r="K464" s="25"/>
      <c r="M464" s="26"/>
      <c r="N464" s="25"/>
      <c r="P464" s="26"/>
      <c r="Q464" s="25"/>
      <c r="S464" s="26"/>
      <c r="T464" s="25"/>
      <c r="V464" s="26"/>
      <c r="W464" s="25"/>
      <c r="Y464" s="26"/>
      <c r="Z464" s="25"/>
      <c r="AB464" s="26"/>
      <c r="BN464" s="24"/>
      <c r="BO464" s="21"/>
      <c r="BP464" s="21"/>
      <c r="BQ464" s="21"/>
      <c r="BS464" s="22"/>
      <c r="BT464" s="21"/>
      <c r="BU464" s="21"/>
      <c r="CB464" s="21"/>
      <c r="CC464" s="21"/>
      <c r="CD464" s="21"/>
      <c r="CE464" s="21"/>
      <c r="CF464" s="21"/>
      <c r="CI464" s="23"/>
      <c r="CJ464" s="21"/>
      <c r="CK464" s="21"/>
      <c r="CL464" s="21"/>
      <c r="CM464" s="21"/>
      <c r="CQ464" s="21"/>
      <c r="CR464" s="21"/>
      <c r="CS464" s="21"/>
    </row>
    <row r="465" spans="11:97" ht="15.75">
      <c r="K465" s="25"/>
      <c r="M465" s="26"/>
      <c r="N465" s="25"/>
      <c r="P465" s="26"/>
      <c r="Q465" s="25"/>
      <c r="S465" s="26"/>
      <c r="T465" s="25"/>
      <c r="V465" s="26"/>
      <c r="W465" s="25"/>
      <c r="Y465" s="26"/>
      <c r="Z465" s="25"/>
      <c r="AB465" s="26"/>
      <c r="BN465" s="24"/>
      <c r="BO465" s="21"/>
      <c r="BP465" s="21"/>
      <c r="BQ465" s="21"/>
      <c r="BS465" s="22"/>
      <c r="BT465" s="21"/>
      <c r="BU465" s="21"/>
      <c r="CB465" s="21"/>
      <c r="CC465" s="21"/>
      <c r="CD465" s="21"/>
      <c r="CE465" s="21"/>
      <c r="CF465" s="21"/>
      <c r="CI465" s="23"/>
      <c r="CJ465" s="21"/>
      <c r="CK465" s="21"/>
      <c r="CL465" s="21"/>
      <c r="CM465" s="21"/>
      <c r="CQ465" s="21"/>
      <c r="CR465" s="21"/>
      <c r="CS465" s="21"/>
    </row>
    <row r="466" spans="11:97" ht="15.75">
      <c r="K466" s="25"/>
      <c r="M466" s="26"/>
      <c r="N466" s="25"/>
      <c r="P466" s="26"/>
      <c r="Q466" s="25"/>
      <c r="S466" s="26"/>
      <c r="T466" s="25"/>
      <c r="V466" s="26"/>
      <c r="W466" s="25"/>
      <c r="Y466" s="26"/>
      <c r="Z466" s="25"/>
      <c r="AB466" s="26"/>
      <c r="BN466" s="24"/>
      <c r="BO466" s="21"/>
      <c r="BP466" s="21"/>
      <c r="BQ466" s="21"/>
      <c r="BS466" s="22"/>
      <c r="BT466" s="21"/>
      <c r="BU466" s="21"/>
      <c r="CB466" s="21"/>
      <c r="CC466" s="21"/>
      <c r="CD466" s="21"/>
      <c r="CE466" s="21"/>
      <c r="CF466" s="21"/>
      <c r="CI466" s="23"/>
      <c r="CJ466" s="21"/>
      <c r="CK466" s="21"/>
      <c r="CL466" s="21"/>
      <c r="CM466" s="21"/>
      <c r="CQ466" s="21"/>
      <c r="CR466" s="21"/>
      <c r="CS466" s="21"/>
    </row>
    <row r="467" spans="11:97" ht="15.75">
      <c r="K467" s="25"/>
      <c r="M467" s="26"/>
      <c r="N467" s="25"/>
      <c r="P467" s="26"/>
      <c r="Q467" s="25"/>
      <c r="S467" s="26"/>
      <c r="T467" s="25"/>
      <c r="V467" s="26"/>
      <c r="W467" s="25"/>
      <c r="Y467" s="26"/>
      <c r="Z467" s="25"/>
      <c r="AB467" s="26"/>
      <c r="BN467" s="24"/>
      <c r="BO467" s="21"/>
      <c r="BP467" s="21"/>
      <c r="BQ467" s="21"/>
      <c r="BS467" s="22"/>
      <c r="BT467" s="21"/>
      <c r="BU467" s="21"/>
      <c r="CB467" s="21"/>
      <c r="CC467" s="21"/>
      <c r="CD467" s="21"/>
      <c r="CE467" s="21"/>
      <c r="CF467" s="21"/>
      <c r="CI467" s="23"/>
      <c r="CJ467" s="21"/>
      <c r="CK467" s="21"/>
      <c r="CL467" s="21"/>
      <c r="CM467" s="21"/>
      <c r="CQ467" s="21"/>
      <c r="CR467" s="21"/>
      <c r="CS467" s="21"/>
    </row>
    <row r="468" spans="11:97" ht="15.75">
      <c r="K468" s="25"/>
      <c r="M468" s="26"/>
      <c r="N468" s="25"/>
      <c r="P468" s="26"/>
      <c r="Q468" s="25"/>
      <c r="S468" s="26"/>
      <c r="T468" s="25"/>
      <c r="V468" s="26"/>
      <c r="W468" s="25"/>
      <c r="Y468" s="26"/>
      <c r="Z468" s="25"/>
      <c r="AB468" s="26"/>
      <c r="BN468" s="24"/>
      <c r="BO468" s="21"/>
      <c r="BP468" s="21"/>
      <c r="BQ468" s="21"/>
      <c r="BS468" s="22"/>
      <c r="BT468" s="21"/>
      <c r="BU468" s="21"/>
      <c r="CB468" s="21"/>
      <c r="CC468" s="21"/>
      <c r="CD468" s="21"/>
      <c r="CE468" s="21"/>
      <c r="CF468" s="21"/>
      <c r="CI468" s="23"/>
      <c r="CJ468" s="21"/>
      <c r="CK468" s="21"/>
      <c r="CL468" s="21"/>
      <c r="CM468" s="21"/>
      <c r="CQ468" s="21"/>
      <c r="CR468" s="21"/>
      <c r="CS468" s="21"/>
    </row>
    <row r="469" spans="11:97" ht="15.75">
      <c r="K469" s="25"/>
      <c r="M469" s="26"/>
      <c r="N469" s="25"/>
      <c r="P469" s="26"/>
      <c r="Q469" s="25"/>
      <c r="S469" s="26"/>
      <c r="T469" s="25"/>
      <c r="V469" s="26"/>
      <c r="W469" s="25"/>
      <c r="Y469" s="26"/>
      <c r="Z469" s="25"/>
      <c r="AB469" s="26"/>
      <c r="BN469" s="24"/>
      <c r="BO469" s="21"/>
      <c r="BP469" s="21"/>
      <c r="BQ469" s="21"/>
      <c r="BS469" s="22"/>
      <c r="BT469" s="21"/>
      <c r="BU469" s="21"/>
      <c r="CB469" s="21"/>
      <c r="CC469" s="21"/>
      <c r="CD469" s="21"/>
      <c r="CE469" s="21"/>
      <c r="CF469" s="21"/>
      <c r="CI469" s="23"/>
      <c r="CJ469" s="21"/>
      <c r="CK469" s="21"/>
      <c r="CL469" s="21"/>
      <c r="CM469" s="21"/>
      <c r="CQ469" s="21"/>
      <c r="CR469" s="21"/>
      <c r="CS469" s="21"/>
    </row>
    <row r="470" spans="11:97" ht="15.75">
      <c r="K470" s="25"/>
      <c r="M470" s="26"/>
      <c r="N470" s="25"/>
      <c r="P470" s="26"/>
      <c r="Q470" s="25"/>
      <c r="S470" s="26"/>
      <c r="T470" s="25"/>
      <c r="V470" s="26"/>
      <c r="W470" s="25"/>
      <c r="Y470" s="26"/>
      <c r="Z470" s="25"/>
      <c r="AB470" s="26"/>
      <c r="BN470" s="24"/>
      <c r="BO470" s="21"/>
      <c r="BP470" s="21"/>
      <c r="BQ470" s="21"/>
      <c r="BS470" s="22"/>
      <c r="BT470" s="21"/>
      <c r="BU470" s="21"/>
      <c r="CB470" s="21"/>
      <c r="CC470" s="21"/>
      <c r="CD470" s="21"/>
      <c r="CE470" s="21"/>
      <c r="CF470" s="21"/>
      <c r="CI470" s="23"/>
      <c r="CJ470" s="21"/>
      <c r="CK470" s="21"/>
      <c r="CL470" s="21"/>
      <c r="CM470" s="21"/>
      <c r="CQ470" s="21"/>
      <c r="CR470" s="21"/>
      <c r="CS470" s="21"/>
    </row>
    <row r="471" spans="11:97" ht="15.75">
      <c r="K471" s="25"/>
      <c r="M471" s="26"/>
      <c r="N471" s="25"/>
      <c r="P471" s="26"/>
      <c r="Q471" s="25"/>
      <c r="S471" s="26"/>
      <c r="T471" s="25"/>
      <c r="V471" s="26"/>
      <c r="W471" s="25"/>
      <c r="Y471" s="26"/>
      <c r="Z471" s="25"/>
      <c r="AB471" s="26"/>
      <c r="BN471" s="24"/>
      <c r="BO471" s="21"/>
      <c r="BP471" s="21"/>
      <c r="BQ471" s="21"/>
      <c r="BS471" s="22"/>
      <c r="BT471" s="21"/>
      <c r="BU471" s="21"/>
      <c r="CB471" s="21"/>
      <c r="CC471" s="21"/>
      <c r="CD471" s="21"/>
      <c r="CE471" s="21"/>
      <c r="CF471" s="21"/>
      <c r="CI471" s="23"/>
      <c r="CJ471" s="21"/>
      <c r="CK471" s="21"/>
      <c r="CL471" s="21"/>
      <c r="CM471" s="21"/>
      <c r="CQ471" s="21"/>
      <c r="CR471" s="21"/>
      <c r="CS471" s="21"/>
    </row>
    <row r="472" spans="11:97" ht="15.75">
      <c r="K472" s="25"/>
      <c r="M472" s="26"/>
      <c r="N472" s="25"/>
      <c r="P472" s="26"/>
      <c r="Q472" s="25"/>
      <c r="S472" s="26"/>
      <c r="T472" s="25"/>
      <c r="V472" s="26"/>
      <c r="W472" s="25"/>
      <c r="Y472" s="26"/>
      <c r="Z472" s="25"/>
      <c r="AB472" s="26"/>
      <c r="BN472" s="24"/>
      <c r="BO472" s="21"/>
      <c r="BP472" s="21"/>
      <c r="BQ472" s="21"/>
      <c r="BS472" s="22"/>
      <c r="BT472" s="21"/>
      <c r="BU472" s="21"/>
      <c r="CB472" s="21"/>
      <c r="CC472" s="21"/>
      <c r="CD472" s="21"/>
      <c r="CE472" s="21"/>
      <c r="CF472" s="21"/>
      <c r="CI472" s="23"/>
      <c r="CJ472" s="21"/>
      <c r="CK472" s="21"/>
      <c r="CL472" s="21"/>
      <c r="CM472" s="21"/>
      <c r="CQ472" s="21"/>
      <c r="CR472" s="21"/>
      <c r="CS472" s="21"/>
    </row>
    <row r="473" spans="11:97" ht="15.75">
      <c r="K473" s="25"/>
      <c r="M473" s="26"/>
      <c r="N473" s="25"/>
      <c r="P473" s="26"/>
      <c r="Q473" s="25"/>
      <c r="S473" s="26"/>
      <c r="T473" s="25"/>
      <c r="V473" s="26"/>
      <c r="W473" s="25"/>
      <c r="Y473" s="26"/>
      <c r="Z473" s="25"/>
      <c r="AB473" s="26"/>
      <c r="BN473" s="24"/>
      <c r="BO473" s="21"/>
      <c r="BP473" s="21"/>
      <c r="BQ473" s="21"/>
      <c r="BS473" s="22"/>
      <c r="BT473" s="21"/>
      <c r="BU473" s="21"/>
      <c r="CB473" s="21"/>
      <c r="CC473" s="21"/>
      <c r="CD473" s="21"/>
      <c r="CE473" s="21"/>
      <c r="CF473" s="21"/>
      <c r="CI473" s="23"/>
      <c r="CJ473" s="21"/>
      <c r="CK473" s="21"/>
      <c r="CL473" s="21"/>
      <c r="CM473" s="21"/>
      <c r="CQ473" s="21"/>
      <c r="CR473" s="21"/>
      <c r="CS473" s="21"/>
    </row>
    <row r="474" spans="11:97" ht="15.75">
      <c r="K474" s="25"/>
      <c r="M474" s="26"/>
      <c r="N474" s="25"/>
      <c r="P474" s="26"/>
      <c r="Q474" s="25"/>
      <c r="S474" s="26"/>
      <c r="T474" s="25"/>
      <c r="V474" s="26"/>
      <c r="W474" s="25"/>
      <c r="Y474" s="26"/>
      <c r="Z474" s="25"/>
      <c r="AB474" s="26"/>
      <c r="BN474" s="24"/>
      <c r="BO474" s="21"/>
      <c r="BP474" s="21"/>
      <c r="BQ474" s="21"/>
      <c r="BS474" s="22"/>
      <c r="BT474" s="21"/>
      <c r="BU474" s="21"/>
      <c r="CB474" s="21"/>
      <c r="CC474" s="21"/>
      <c r="CD474" s="21"/>
      <c r="CE474" s="21"/>
      <c r="CF474" s="21"/>
      <c r="CI474" s="23"/>
      <c r="CJ474" s="21"/>
      <c r="CK474" s="21"/>
      <c r="CL474" s="21"/>
      <c r="CM474" s="21"/>
      <c r="CQ474" s="21"/>
      <c r="CR474" s="21"/>
      <c r="CS474" s="21"/>
    </row>
    <row r="475" spans="11:97" ht="15.75">
      <c r="K475" s="25"/>
      <c r="M475" s="26"/>
      <c r="N475" s="25"/>
      <c r="P475" s="26"/>
      <c r="Q475" s="25"/>
      <c r="S475" s="26"/>
      <c r="T475" s="25"/>
      <c r="V475" s="26"/>
      <c r="W475" s="25"/>
      <c r="Y475" s="26"/>
      <c r="Z475" s="25"/>
      <c r="AB475" s="26"/>
      <c r="BN475" s="24"/>
      <c r="BO475" s="21"/>
      <c r="BP475" s="21"/>
      <c r="BQ475" s="21"/>
      <c r="BS475" s="22"/>
      <c r="BT475" s="21"/>
      <c r="BU475" s="21"/>
      <c r="CB475" s="21"/>
      <c r="CC475" s="21"/>
      <c r="CD475" s="21"/>
      <c r="CE475" s="21"/>
      <c r="CF475" s="21"/>
      <c r="CI475" s="23"/>
      <c r="CJ475" s="21"/>
      <c r="CK475" s="21"/>
      <c r="CL475" s="21"/>
      <c r="CM475" s="21"/>
      <c r="CQ475" s="21"/>
      <c r="CR475" s="21"/>
      <c r="CS475" s="21"/>
    </row>
    <row r="476" spans="11:97" ht="15.75">
      <c r="K476" s="25"/>
      <c r="M476" s="26"/>
      <c r="N476" s="25"/>
      <c r="P476" s="26"/>
      <c r="Q476" s="25"/>
      <c r="S476" s="26"/>
      <c r="T476" s="25"/>
      <c r="V476" s="26"/>
      <c r="W476" s="25"/>
      <c r="Y476" s="26"/>
      <c r="Z476" s="25"/>
      <c r="AB476" s="26"/>
      <c r="BN476" s="24"/>
      <c r="BO476" s="21"/>
      <c r="BP476" s="21"/>
      <c r="BQ476" s="21"/>
      <c r="BS476" s="22"/>
      <c r="BT476" s="21"/>
      <c r="BU476" s="21"/>
      <c r="CB476" s="21"/>
      <c r="CC476" s="21"/>
      <c r="CD476" s="21"/>
      <c r="CE476" s="21"/>
      <c r="CF476" s="21"/>
      <c r="CI476" s="23"/>
      <c r="CJ476" s="21"/>
      <c r="CK476" s="21"/>
      <c r="CL476" s="21"/>
      <c r="CM476" s="21"/>
      <c r="CQ476" s="21"/>
      <c r="CR476" s="21"/>
      <c r="CS476" s="21"/>
    </row>
    <row r="477" spans="11:97" ht="15.75">
      <c r="K477" s="25"/>
      <c r="M477" s="26"/>
      <c r="N477" s="25"/>
      <c r="P477" s="26"/>
      <c r="Q477" s="25"/>
      <c r="S477" s="26"/>
      <c r="T477" s="25"/>
      <c r="V477" s="26"/>
      <c r="W477" s="25"/>
      <c r="Y477" s="26"/>
      <c r="Z477" s="25"/>
      <c r="AB477" s="26"/>
      <c r="BN477" s="24"/>
      <c r="BO477" s="21"/>
      <c r="BP477" s="21"/>
      <c r="BQ477" s="21"/>
      <c r="BS477" s="22"/>
      <c r="BT477" s="21"/>
      <c r="BU477" s="21"/>
      <c r="CB477" s="21"/>
      <c r="CC477" s="21"/>
      <c r="CD477" s="21"/>
      <c r="CE477" s="21"/>
      <c r="CF477" s="21"/>
      <c r="CI477" s="23"/>
      <c r="CJ477" s="21"/>
      <c r="CK477" s="21"/>
      <c r="CL477" s="21"/>
      <c r="CM477" s="21"/>
      <c r="CQ477" s="21"/>
      <c r="CR477" s="21"/>
      <c r="CS477" s="21"/>
    </row>
    <row r="478" spans="11:97" ht="15.75">
      <c r="K478" s="25"/>
      <c r="M478" s="26"/>
      <c r="N478" s="25"/>
      <c r="P478" s="26"/>
      <c r="Q478" s="25"/>
      <c r="S478" s="26"/>
      <c r="T478" s="25"/>
      <c r="V478" s="26"/>
      <c r="W478" s="25"/>
      <c r="Y478" s="26"/>
      <c r="Z478" s="25"/>
      <c r="AB478" s="26"/>
      <c r="BN478" s="24"/>
      <c r="BO478" s="21"/>
      <c r="BP478" s="21"/>
      <c r="BQ478" s="21"/>
      <c r="BS478" s="22"/>
      <c r="BT478" s="21"/>
      <c r="BU478" s="21"/>
      <c r="CB478" s="21"/>
      <c r="CC478" s="21"/>
      <c r="CD478" s="21"/>
      <c r="CE478" s="21"/>
      <c r="CF478" s="21"/>
      <c r="CI478" s="23"/>
      <c r="CJ478" s="21"/>
      <c r="CK478" s="21"/>
      <c r="CL478" s="21"/>
      <c r="CM478" s="21"/>
      <c r="CQ478" s="21"/>
      <c r="CR478" s="21"/>
      <c r="CS478" s="21"/>
    </row>
    <row r="479" spans="11:97" ht="15.75">
      <c r="K479" s="25"/>
      <c r="M479" s="26"/>
      <c r="N479" s="25"/>
      <c r="P479" s="26"/>
      <c r="Q479" s="25"/>
      <c r="S479" s="26"/>
      <c r="T479" s="25"/>
      <c r="V479" s="26"/>
      <c r="W479" s="25"/>
      <c r="Y479" s="26"/>
      <c r="Z479" s="25"/>
      <c r="AB479" s="26"/>
      <c r="BN479" s="24"/>
      <c r="BO479" s="21"/>
      <c r="BP479" s="21"/>
      <c r="BQ479" s="21"/>
      <c r="BS479" s="22"/>
      <c r="BT479" s="21"/>
      <c r="BU479" s="21"/>
      <c r="CB479" s="21"/>
      <c r="CC479" s="21"/>
      <c r="CD479" s="21"/>
      <c r="CE479" s="21"/>
      <c r="CF479" s="21"/>
      <c r="CI479" s="23"/>
      <c r="CJ479" s="21"/>
      <c r="CK479" s="21"/>
      <c r="CL479" s="21"/>
      <c r="CM479" s="21"/>
      <c r="CQ479" s="21"/>
      <c r="CR479" s="21"/>
      <c r="CS479" s="21"/>
    </row>
    <row r="480" spans="11:97" ht="15.75">
      <c r="K480" s="25"/>
      <c r="M480" s="26"/>
      <c r="N480" s="25"/>
      <c r="P480" s="26"/>
      <c r="Q480" s="25"/>
      <c r="S480" s="26"/>
      <c r="T480" s="25"/>
      <c r="V480" s="26"/>
      <c r="W480" s="25"/>
      <c r="Y480" s="26"/>
      <c r="Z480" s="25"/>
      <c r="AB480" s="26"/>
      <c r="BN480" s="24"/>
      <c r="BO480" s="21"/>
      <c r="BP480" s="21"/>
      <c r="BQ480" s="21"/>
      <c r="BS480" s="22"/>
      <c r="BT480" s="21"/>
      <c r="BU480" s="21"/>
      <c r="CB480" s="21"/>
      <c r="CC480" s="21"/>
      <c r="CD480" s="21"/>
      <c r="CE480" s="21"/>
      <c r="CF480" s="21"/>
      <c r="CI480" s="23"/>
      <c r="CJ480" s="21"/>
      <c r="CK480" s="21"/>
      <c r="CL480" s="21"/>
      <c r="CM480" s="21"/>
      <c r="CQ480" s="21"/>
      <c r="CR480" s="21"/>
      <c r="CS480" s="21"/>
    </row>
    <row r="481" spans="3:97" ht="15.75">
      <c r="K481" s="25"/>
      <c r="M481" s="26"/>
      <c r="N481" s="25"/>
      <c r="P481" s="26"/>
      <c r="Q481" s="25"/>
      <c r="S481" s="26"/>
      <c r="T481" s="25"/>
      <c r="V481" s="26"/>
      <c r="W481" s="25"/>
      <c r="Y481" s="26"/>
      <c r="Z481" s="25"/>
      <c r="AB481" s="26"/>
      <c r="BN481" s="24"/>
      <c r="BO481" s="21"/>
      <c r="BP481" s="21"/>
      <c r="BQ481" s="21"/>
      <c r="BS481" s="22"/>
      <c r="BT481" s="21"/>
      <c r="BU481" s="21"/>
      <c r="CB481" s="21"/>
      <c r="CC481" s="21"/>
      <c r="CD481" s="21"/>
      <c r="CE481" s="21"/>
      <c r="CF481" s="21"/>
      <c r="CI481" s="23"/>
      <c r="CJ481" s="21"/>
      <c r="CK481" s="21"/>
      <c r="CL481" s="21"/>
      <c r="CM481" s="21"/>
      <c r="CQ481" s="21"/>
      <c r="CR481" s="21"/>
      <c r="CS481" s="21"/>
    </row>
    <row r="482" spans="3:97" ht="15.75">
      <c r="K482" s="25"/>
      <c r="M482" s="26"/>
      <c r="N482" s="25"/>
      <c r="P482" s="26"/>
      <c r="Q482" s="25"/>
      <c r="S482" s="26"/>
      <c r="T482" s="25"/>
      <c r="V482" s="26"/>
      <c r="W482" s="25"/>
      <c r="Y482" s="26"/>
      <c r="Z482" s="25"/>
      <c r="AB482" s="26"/>
      <c r="BN482" s="24"/>
      <c r="BO482" s="21"/>
      <c r="BP482" s="21"/>
      <c r="BQ482" s="21"/>
      <c r="BS482" s="22"/>
      <c r="BT482" s="21"/>
      <c r="BU482" s="21"/>
      <c r="CB482" s="21"/>
      <c r="CC482" s="21"/>
      <c r="CD482" s="21"/>
      <c r="CE482" s="21"/>
      <c r="CF482" s="21"/>
      <c r="CI482" s="23"/>
      <c r="CJ482" s="21"/>
      <c r="CK482" s="21"/>
      <c r="CL482" s="21"/>
      <c r="CM482" s="21"/>
      <c r="CQ482" s="21"/>
      <c r="CR482" s="21"/>
      <c r="CS482" s="21"/>
    </row>
    <row r="483" spans="3:97" s="14" customFormat="1" ht="15.75">
      <c r="C483"/>
      <c r="D483"/>
      <c r="E483"/>
      <c r="F483" s="15"/>
      <c r="K483" s="16"/>
      <c r="M483" s="17"/>
      <c r="N483" s="16"/>
      <c r="P483" s="17"/>
      <c r="Q483" s="16"/>
      <c r="S483" s="17"/>
      <c r="T483" s="16"/>
      <c r="V483" s="17"/>
      <c r="W483" s="16"/>
      <c r="Y483" s="17"/>
      <c r="Z483" s="16"/>
      <c r="AB483" s="17"/>
      <c r="BN483" s="24"/>
      <c r="BO483" s="21"/>
      <c r="BP483" s="21"/>
      <c r="BQ483" s="21"/>
      <c r="BR483"/>
      <c r="BS483" s="22"/>
      <c r="BT483" s="21"/>
      <c r="BU483" s="21"/>
      <c r="BV483"/>
      <c r="BW483"/>
      <c r="BX483"/>
      <c r="BY483"/>
      <c r="BZ483"/>
      <c r="CA483"/>
      <c r="CB483" s="21"/>
      <c r="CC483" s="21"/>
      <c r="CD483" s="21"/>
      <c r="CE483" s="21"/>
      <c r="CF483" s="21"/>
      <c r="CG483"/>
      <c r="CH483"/>
      <c r="CI483" s="23"/>
      <c r="CJ483" s="21"/>
      <c r="CK483" s="21"/>
      <c r="CL483" s="21"/>
      <c r="CM483" s="21"/>
      <c r="CN483"/>
      <c r="CO483"/>
      <c r="CP483"/>
      <c r="CQ483" s="21"/>
      <c r="CR483" s="21"/>
      <c r="CS483" s="21"/>
    </row>
    <row r="484" spans="3:97" ht="15.75">
      <c r="K484" s="25"/>
      <c r="M484" s="26"/>
      <c r="N484" s="25"/>
      <c r="P484" s="26"/>
      <c r="Q484" s="25"/>
      <c r="S484" s="26"/>
      <c r="T484" s="25"/>
      <c r="V484" s="26"/>
      <c r="W484" s="25"/>
      <c r="Y484" s="26"/>
      <c r="Z484" s="25"/>
      <c r="AB484" s="26"/>
      <c r="BN484" s="24"/>
      <c r="BO484" s="21"/>
      <c r="BP484" s="21"/>
      <c r="BQ484" s="21"/>
      <c r="BS484" s="22"/>
      <c r="BT484" s="21"/>
      <c r="BU484" s="21"/>
      <c r="CB484" s="21"/>
      <c r="CC484" s="21"/>
      <c r="CD484" s="21"/>
      <c r="CE484" s="21"/>
      <c r="CF484" s="21"/>
      <c r="CI484" s="23"/>
      <c r="CJ484" s="21"/>
      <c r="CK484" s="21"/>
      <c r="CL484" s="21"/>
      <c r="CM484" s="21"/>
      <c r="CQ484" s="21"/>
      <c r="CR484" s="21"/>
      <c r="CS484" s="21"/>
    </row>
    <row r="485" spans="3:97" ht="15.75">
      <c r="K485" s="25"/>
      <c r="M485" s="26"/>
      <c r="N485" s="25"/>
      <c r="P485" s="26"/>
      <c r="Q485" s="25"/>
      <c r="S485" s="26"/>
      <c r="T485" s="25"/>
      <c r="V485" s="26"/>
      <c r="W485" s="25"/>
      <c r="Y485" s="26"/>
      <c r="Z485" s="25"/>
      <c r="AB485" s="26"/>
      <c r="BN485" s="24"/>
      <c r="BO485" s="21"/>
      <c r="BP485" s="21"/>
      <c r="BQ485" s="21"/>
      <c r="BS485" s="22"/>
      <c r="BT485" s="21"/>
      <c r="BU485" s="21"/>
      <c r="CB485" s="21"/>
      <c r="CC485" s="21"/>
      <c r="CD485" s="21"/>
      <c r="CE485" s="21"/>
      <c r="CF485" s="21"/>
      <c r="CI485" s="23"/>
      <c r="CJ485" s="21"/>
      <c r="CK485" s="21"/>
      <c r="CL485" s="21"/>
      <c r="CM485" s="21"/>
      <c r="CQ485" s="21"/>
      <c r="CR485" s="21"/>
      <c r="CS485" s="21"/>
    </row>
    <row r="486" spans="3:97" ht="15.75">
      <c r="K486" s="25"/>
      <c r="M486" s="26"/>
      <c r="N486" s="25"/>
      <c r="P486" s="26"/>
      <c r="Q486" s="25"/>
      <c r="S486" s="26"/>
      <c r="T486" s="25"/>
      <c r="V486" s="26"/>
      <c r="W486" s="25"/>
      <c r="Y486" s="26"/>
      <c r="Z486" s="25"/>
      <c r="AB486" s="26"/>
      <c r="BN486" s="24"/>
      <c r="BO486" s="21"/>
      <c r="BP486" s="21"/>
      <c r="BQ486" s="21"/>
      <c r="BS486" s="22"/>
      <c r="BT486" s="21"/>
      <c r="BU486" s="21"/>
      <c r="CB486" s="21"/>
      <c r="CC486" s="21"/>
      <c r="CD486" s="21"/>
      <c r="CE486" s="21"/>
      <c r="CF486" s="21"/>
      <c r="CI486" s="23"/>
      <c r="CJ486" s="21"/>
      <c r="CK486" s="21"/>
      <c r="CL486" s="21"/>
      <c r="CM486" s="21"/>
      <c r="CQ486" s="21"/>
      <c r="CR486" s="21"/>
      <c r="CS486" s="21"/>
    </row>
    <row r="487" spans="3:97" ht="15.75">
      <c r="K487" s="25"/>
      <c r="M487" s="26"/>
      <c r="N487" s="25"/>
      <c r="P487" s="26"/>
      <c r="Q487" s="25"/>
      <c r="S487" s="26"/>
      <c r="T487" s="25"/>
      <c r="V487" s="26"/>
      <c r="W487" s="25"/>
      <c r="Y487" s="26"/>
      <c r="Z487" s="25"/>
      <c r="AB487" s="26"/>
      <c r="BN487" s="24"/>
      <c r="BO487" s="21"/>
      <c r="BP487" s="21"/>
      <c r="BQ487" s="21"/>
      <c r="BS487" s="22"/>
      <c r="BT487" s="21"/>
      <c r="BU487" s="21"/>
      <c r="CB487" s="21"/>
      <c r="CC487" s="21"/>
      <c r="CD487" s="21"/>
      <c r="CE487" s="21"/>
      <c r="CF487" s="21"/>
      <c r="CI487" s="23"/>
      <c r="CJ487" s="21"/>
      <c r="CK487" s="21"/>
      <c r="CL487" s="21"/>
      <c r="CM487" s="21"/>
      <c r="CQ487" s="21"/>
      <c r="CR487" s="21"/>
      <c r="CS487" s="21"/>
    </row>
    <row r="488" spans="3:97" ht="15.75">
      <c r="K488" s="25"/>
      <c r="M488" s="26"/>
      <c r="N488" s="25"/>
      <c r="P488" s="26"/>
      <c r="Q488" s="25"/>
      <c r="S488" s="26"/>
      <c r="T488" s="25"/>
      <c r="V488" s="26"/>
      <c r="W488" s="25"/>
      <c r="Y488" s="26"/>
      <c r="Z488" s="25"/>
      <c r="AB488" s="26"/>
      <c r="BN488" s="24"/>
      <c r="BO488" s="21"/>
      <c r="BP488" s="21"/>
      <c r="BQ488" s="21"/>
      <c r="BS488" s="22"/>
      <c r="BT488" s="21"/>
      <c r="BU488" s="21"/>
      <c r="CB488" s="21"/>
      <c r="CC488" s="21"/>
      <c r="CD488" s="21"/>
      <c r="CE488" s="21"/>
      <c r="CF488" s="21"/>
      <c r="CI488" s="23"/>
      <c r="CJ488" s="21"/>
      <c r="CK488" s="21"/>
      <c r="CL488" s="21"/>
      <c r="CM488" s="21"/>
      <c r="CQ488" s="21"/>
      <c r="CR488" s="21"/>
      <c r="CS488" s="21"/>
    </row>
    <row r="489" spans="3:97" ht="15.75">
      <c r="K489" s="25"/>
      <c r="M489" s="26"/>
      <c r="N489" s="25"/>
      <c r="P489" s="26"/>
      <c r="Q489" s="25"/>
      <c r="S489" s="26"/>
      <c r="T489" s="25"/>
      <c r="V489" s="26"/>
      <c r="W489" s="25"/>
      <c r="Y489" s="26"/>
      <c r="Z489" s="25"/>
      <c r="AB489" s="26"/>
      <c r="BN489" s="24"/>
      <c r="BO489" s="21"/>
      <c r="BP489" s="21"/>
      <c r="BQ489" s="21"/>
      <c r="BS489" s="22"/>
      <c r="BT489" s="21"/>
      <c r="BU489" s="21"/>
      <c r="CB489" s="21"/>
      <c r="CC489" s="21"/>
      <c r="CD489" s="21"/>
      <c r="CE489" s="21"/>
      <c r="CF489" s="21"/>
      <c r="CI489" s="23"/>
      <c r="CJ489" s="21"/>
      <c r="CK489" s="21"/>
      <c r="CL489" s="21"/>
      <c r="CM489" s="21"/>
      <c r="CQ489" s="21"/>
      <c r="CR489" s="21"/>
      <c r="CS489" s="21"/>
    </row>
    <row r="490" spans="3:97" ht="15.75">
      <c r="K490" s="25"/>
      <c r="M490" s="26"/>
      <c r="N490" s="25"/>
      <c r="P490" s="26"/>
      <c r="Q490" s="25"/>
      <c r="S490" s="26"/>
      <c r="T490" s="25"/>
      <c r="V490" s="26"/>
      <c r="W490" s="25"/>
      <c r="Y490" s="26"/>
      <c r="Z490" s="25"/>
      <c r="AB490" s="26"/>
      <c r="BN490" s="24"/>
      <c r="BO490" s="21"/>
      <c r="BP490" s="21"/>
      <c r="BQ490" s="21"/>
      <c r="BS490" s="22"/>
      <c r="BT490" s="21"/>
      <c r="BU490" s="21"/>
      <c r="CB490" s="21"/>
      <c r="CC490" s="21"/>
      <c r="CD490" s="21"/>
      <c r="CE490" s="21"/>
      <c r="CF490" s="21"/>
      <c r="CI490" s="23"/>
      <c r="CJ490" s="21"/>
      <c r="CK490" s="21"/>
      <c r="CL490" s="21"/>
      <c r="CM490" s="21"/>
      <c r="CQ490" s="21"/>
      <c r="CR490" s="21"/>
      <c r="CS490" s="21"/>
    </row>
    <row r="491" spans="3:97" ht="15.75">
      <c r="K491" s="25"/>
      <c r="M491" s="26"/>
      <c r="N491" s="25"/>
      <c r="P491" s="26"/>
      <c r="Q491" s="25"/>
      <c r="S491" s="26"/>
      <c r="T491" s="25"/>
      <c r="V491" s="26"/>
      <c r="W491" s="25"/>
      <c r="Y491" s="26"/>
      <c r="Z491" s="25"/>
      <c r="AB491" s="26"/>
      <c r="BN491" s="24"/>
      <c r="BO491" s="21"/>
      <c r="BP491" s="21"/>
      <c r="BQ491" s="21"/>
      <c r="BS491" s="22"/>
      <c r="BT491" s="21"/>
      <c r="BU491" s="21"/>
      <c r="CB491" s="21"/>
      <c r="CC491" s="21"/>
      <c r="CD491" s="21"/>
      <c r="CE491" s="21"/>
      <c r="CF491" s="21"/>
      <c r="CI491" s="23"/>
      <c r="CJ491" s="21"/>
      <c r="CK491" s="21"/>
      <c r="CL491" s="21"/>
      <c r="CM491" s="21"/>
      <c r="CQ491" s="21"/>
      <c r="CR491" s="21"/>
      <c r="CS491" s="21"/>
    </row>
    <row r="492" spans="3:97" ht="15.75">
      <c r="K492" s="25"/>
      <c r="M492" s="26"/>
      <c r="N492" s="25"/>
      <c r="P492" s="26"/>
      <c r="Q492" s="25"/>
      <c r="S492" s="26"/>
      <c r="T492" s="25"/>
      <c r="V492" s="26"/>
      <c r="W492" s="25"/>
      <c r="Y492" s="26"/>
      <c r="Z492" s="25"/>
      <c r="AB492" s="26"/>
      <c r="BN492" s="24"/>
      <c r="BO492" s="21"/>
      <c r="BP492" s="21"/>
      <c r="BQ492" s="21"/>
      <c r="BS492" s="22"/>
      <c r="BT492" s="21"/>
      <c r="BU492" s="21"/>
      <c r="CB492" s="21"/>
      <c r="CC492" s="21"/>
      <c r="CD492" s="21"/>
      <c r="CE492" s="21"/>
      <c r="CF492" s="21"/>
      <c r="CI492" s="23"/>
      <c r="CJ492" s="21"/>
      <c r="CK492" s="21"/>
      <c r="CL492" s="21"/>
      <c r="CM492" s="21"/>
      <c r="CQ492" s="21"/>
      <c r="CR492" s="21"/>
      <c r="CS492" s="21"/>
    </row>
    <row r="493" spans="3:97" ht="15.75">
      <c r="K493" s="25"/>
      <c r="M493" s="26"/>
      <c r="N493" s="25"/>
      <c r="P493" s="26"/>
      <c r="Q493" s="25"/>
      <c r="S493" s="26"/>
      <c r="T493" s="25"/>
      <c r="V493" s="26"/>
      <c r="W493" s="25"/>
      <c r="Y493" s="26"/>
      <c r="Z493" s="25"/>
      <c r="AB493" s="26"/>
      <c r="BN493" s="24"/>
      <c r="BO493" s="21"/>
      <c r="BP493" s="21"/>
      <c r="BQ493" s="21"/>
      <c r="BS493" s="22"/>
      <c r="BT493" s="21"/>
      <c r="BU493" s="21"/>
      <c r="CB493" s="21"/>
      <c r="CC493" s="21"/>
      <c r="CD493" s="21"/>
      <c r="CE493" s="21"/>
      <c r="CF493" s="21"/>
      <c r="CI493" s="23"/>
      <c r="CJ493" s="21"/>
      <c r="CK493" s="21"/>
      <c r="CL493" s="21"/>
      <c r="CM493" s="21"/>
      <c r="CQ493" s="21"/>
      <c r="CR493" s="21"/>
      <c r="CS493" s="21"/>
    </row>
    <row r="494" spans="3:97" ht="15.75">
      <c r="K494" s="25"/>
      <c r="M494" s="26"/>
      <c r="N494" s="25"/>
      <c r="P494" s="26"/>
      <c r="Q494" s="25"/>
      <c r="S494" s="26"/>
      <c r="T494" s="25"/>
      <c r="V494" s="26"/>
      <c r="W494" s="25"/>
      <c r="Y494" s="26"/>
      <c r="Z494" s="25"/>
      <c r="AB494" s="26"/>
      <c r="BN494" s="24"/>
      <c r="BO494" s="21"/>
      <c r="BP494" s="21"/>
      <c r="BQ494" s="21"/>
      <c r="BS494" s="22"/>
      <c r="BT494" s="21"/>
      <c r="BU494" s="21"/>
      <c r="CB494" s="21"/>
      <c r="CC494" s="21"/>
      <c r="CD494" s="21"/>
      <c r="CE494" s="21"/>
      <c r="CF494" s="21"/>
      <c r="CI494" s="23"/>
      <c r="CJ494" s="21"/>
      <c r="CK494" s="21"/>
      <c r="CL494" s="21"/>
      <c r="CM494" s="21"/>
      <c r="CQ494" s="21"/>
      <c r="CR494" s="21"/>
      <c r="CS494" s="21"/>
    </row>
    <row r="495" spans="3:97" ht="15.75">
      <c r="K495" s="25"/>
      <c r="M495" s="26"/>
      <c r="N495" s="25"/>
      <c r="P495" s="26"/>
      <c r="Q495" s="25"/>
      <c r="S495" s="26"/>
      <c r="T495" s="25"/>
      <c r="V495" s="26"/>
      <c r="W495" s="25"/>
      <c r="Y495" s="26"/>
      <c r="Z495" s="25"/>
      <c r="AB495" s="26"/>
      <c r="BN495" s="24"/>
      <c r="BO495" s="21"/>
      <c r="BP495" s="21"/>
      <c r="BQ495" s="21"/>
      <c r="BS495" s="22"/>
      <c r="BT495" s="21"/>
      <c r="BU495" s="21"/>
      <c r="CB495" s="21"/>
      <c r="CC495" s="21"/>
      <c r="CD495" s="21"/>
      <c r="CE495" s="21"/>
      <c r="CF495" s="21"/>
      <c r="CI495" s="23"/>
      <c r="CJ495" s="21"/>
      <c r="CK495" s="21"/>
      <c r="CL495" s="21"/>
      <c r="CM495" s="21"/>
      <c r="CQ495" s="21"/>
      <c r="CR495" s="21"/>
      <c r="CS495" s="21"/>
    </row>
    <row r="496" spans="3:97" ht="15.75">
      <c r="K496" s="25"/>
      <c r="M496" s="26"/>
      <c r="N496" s="25"/>
      <c r="P496" s="26"/>
      <c r="Q496" s="25"/>
      <c r="S496" s="26"/>
      <c r="T496" s="25"/>
      <c r="V496" s="26"/>
      <c r="W496" s="25"/>
      <c r="Y496" s="26"/>
      <c r="Z496" s="25"/>
      <c r="AB496" s="26"/>
      <c r="BN496" s="24"/>
      <c r="BO496" s="21"/>
      <c r="BP496" s="21"/>
      <c r="BQ496" s="21"/>
      <c r="BS496" s="22"/>
      <c r="BT496" s="21"/>
      <c r="BU496" s="21"/>
      <c r="CB496" s="21"/>
      <c r="CC496" s="21"/>
      <c r="CD496" s="21"/>
      <c r="CE496" s="21"/>
      <c r="CF496" s="21"/>
      <c r="CI496" s="23"/>
      <c r="CJ496" s="21"/>
      <c r="CK496" s="21"/>
      <c r="CL496" s="21"/>
      <c r="CM496" s="21"/>
      <c r="CQ496" s="21"/>
      <c r="CR496" s="21"/>
      <c r="CS496" s="21"/>
    </row>
    <row r="497" spans="3:97" ht="15.75">
      <c r="K497" s="25"/>
      <c r="M497" s="26"/>
      <c r="N497" s="25"/>
      <c r="P497" s="26"/>
      <c r="Q497" s="25"/>
      <c r="S497" s="26"/>
      <c r="T497" s="25"/>
      <c r="V497" s="26"/>
      <c r="W497" s="25"/>
      <c r="Y497" s="26"/>
      <c r="Z497" s="25"/>
      <c r="AB497" s="26"/>
      <c r="BN497" s="24"/>
      <c r="BO497" s="21"/>
      <c r="BP497" s="21"/>
      <c r="BQ497" s="21"/>
      <c r="BS497" s="22"/>
      <c r="BT497" s="21"/>
      <c r="BU497" s="21"/>
      <c r="CB497" s="21"/>
      <c r="CC497" s="21"/>
      <c r="CD497" s="21"/>
      <c r="CE497" s="21"/>
      <c r="CF497" s="21"/>
      <c r="CI497" s="23"/>
      <c r="CJ497" s="21"/>
      <c r="CK497" s="21"/>
      <c r="CL497" s="21"/>
      <c r="CM497" s="21"/>
      <c r="CQ497" s="21"/>
      <c r="CR497" s="21"/>
      <c r="CS497" s="21"/>
    </row>
    <row r="498" spans="3:97" ht="15.75">
      <c r="K498" s="25"/>
      <c r="M498" s="26"/>
      <c r="N498" s="25"/>
      <c r="P498" s="26"/>
      <c r="Q498" s="25"/>
      <c r="S498" s="26"/>
      <c r="T498" s="25"/>
      <c r="V498" s="26"/>
      <c r="W498" s="25"/>
      <c r="Y498" s="26"/>
      <c r="Z498" s="25"/>
      <c r="AB498" s="26"/>
      <c r="BN498" s="24"/>
      <c r="BO498" s="21"/>
      <c r="BP498" s="21"/>
      <c r="BQ498" s="21"/>
      <c r="BS498" s="22"/>
      <c r="BT498" s="21"/>
      <c r="BU498" s="21"/>
      <c r="CB498" s="21"/>
      <c r="CC498" s="21"/>
      <c r="CD498" s="21"/>
      <c r="CE498" s="21"/>
      <c r="CF498" s="21"/>
      <c r="CI498" s="23"/>
      <c r="CJ498" s="21"/>
      <c r="CK498" s="21"/>
      <c r="CL498" s="21"/>
      <c r="CM498" s="21"/>
      <c r="CQ498" s="21"/>
      <c r="CR498" s="21"/>
      <c r="CS498" s="21"/>
    </row>
    <row r="499" spans="3:97" ht="15.75">
      <c r="K499" s="25"/>
      <c r="M499" s="26"/>
      <c r="N499" s="25"/>
      <c r="P499" s="26"/>
      <c r="Q499" s="25"/>
      <c r="S499" s="26"/>
      <c r="T499" s="25"/>
      <c r="V499" s="26"/>
      <c r="W499" s="25"/>
      <c r="Y499" s="26"/>
      <c r="Z499" s="25"/>
      <c r="AB499" s="26"/>
      <c r="BN499" s="24"/>
      <c r="BO499" s="21"/>
      <c r="BP499" s="21"/>
      <c r="BQ499" s="21"/>
      <c r="BS499" s="22"/>
      <c r="BT499" s="21"/>
      <c r="BU499" s="21"/>
      <c r="CB499" s="21"/>
      <c r="CC499" s="21"/>
      <c r="CD499" s="21"/>
      <c r="CE499" s="21"/>
      <c r="CF499" s="21"/>
      <c r="CI499" s="23"/>
      <c r="CJ499" s="21"/>
      <c r="CK499" s="21"/>
      <c r="CL499" s="21"/>
      <c r="CM499" s="21"/>
      <c r="CQ499" s="21"/>
      <c r="CR499" s="21"/>
      <c r="CS499" s="21"/>
    </row>
    <row r="500" spans="3:97" ht="15.75">
      <c r="K500" s="25"/>
      <c r="M500" s="26"/>
      <c r="N500" s="25"/>
      <c r="P500" s="26"/>
      <c r="Q500" s="25"/>
      <c r="S500" s="26"/>
      <c r="T500" s="25"/>
      <c r="V500" s="26"/>
      <c r="W500" s="25"/>
      <c r="Y500" s="26"/>
      <c r="Z500" s="25"/>
      <c r="AB500" s="26"/>
      <c r="BN500" s="24"/>
      <c r="BO500" s="21"/>
      <c r="BP500" s="21"/>
      <c r="BQ500" s="21"/>
      <c r="BS500" s="22"/>
      <c r="BT500" s="21"/>
      <c r="BU500" s="21"/>
      <c r="CB500" s="21"/>
      <c r="CC500" s="21"/>
      <c r="CD500" s="21"/>
      <c r="CE500" s="21"/>
      <c r="CF500" s="21"/>
      <c r="CI500" s="23"/>
      <c r="CJ500" s="21"/>
      <c r="CK500" s="21"/>
      <c r="CL500" s="21"/>
      <c r="CM500" s="21"/>
      <c r="CQ500" s="21"/>
      <c r="CR500" s="21"/>
      <c r="CS500" s="21"/>
    </row>
    <row r="501" spans="3:97" ht="15.75">
      <c r="K501" s="25"/>
      <c r="M501" s="26"/>
      <c r="N501" s="25"/>
      <c r="P501" s="26"/>
      <c r="Q501" s="25"/>
      <c r="S501" s="26"/>
      <c r="T501" s="25"/>
      <c r="V501" s="26"/>
      <c r="W501" s="25"/>
      <c r="Y501" s="26"/>
      <c r="Z501" s="25"/>
      <c r="AB501" s="26"/>
      <c r="BN501" s="24"/>
      <c r="BO501" s="21"/>
      <c r="BP501" s="21"/>
      <c r="BQ501" s="21"/>
      <c r="BS501" s="22"/>
      <c r="BT501" s="21"/>
      <c r="BU501" s="21"/>
      <c r="CB501" s="21"/>
      <c r="CC501" s="21"/>
      <c r="CD501" s="21"/>
      <c r="CE501" s="21"/>
      <c r="CF501" s="21"/>
      <c r="CI501" s="23"/>
      <c r="CJ501" s="21"/>
      <c r="CK501" s="21"/>
      <c r="CL501" s="21"/>
      <c r="CM501" s="21"/>
      <c r="CQ501" s="21"/>
      <c r="CR501" s="21"/>
      <c r="CS501" s="21"/>
    </row>
    <row r="502" spans="3:97" s="14" customFormat="1" ht="15.75">
      <c r="C502"/>
      <c r="D502"/>
      <c r="E502"/>
      <c r="F502" s="15"/>
      <c r="K502" s="16"/>
      <c r="M502" s="17"/>
      <c r="N502" s="16"/>
      <c r="P502" s="17"/>
      <c r="Q502" s="16"/>
      <c r="S502" s="17"/>
      <c r="T502" s="16"/>
      <c r="V502" s="17"/>
      <c r="W502" s="16"/>
      <c r="Y502" s="17"/>
      <c r="Z502" s="16"/>
      <c r="AB502" s="17"/>
      <c r="BN502" s="24"/>
      <c r="BO502" s="21"/>
      <c r="BP502" s="21"/>
      <c r="BQ502" s="21"/>
      <c r="BR502"/>
      <c r="BS502" s="22"/>
      <c r="BT502" s="21"/>
      <c r="BU502" s="21"/>
      <c r="BV502"/>
      <c r="BW502"/>
      <c r="BX502"/>
      <c r="BY502"/>
      <c r="BZ502"/>
      <c r="CA502"/>
      <c r="CB502" s="21"/>
      <c r="CC502" s="21"/>
      <c r="CD502" s="21"/>
      <c r="CE502" s="21"/>
      <c r="CF502" s="21"/>
      <c r="CG502"/>
      <c r="CH502"/>
      <c r="CI502" s="23"/>
      <c r="CJ502" s="21"/>
      <c r="CK502" s="21"/>
      <c r="CL502" s="21"/>
      <c r="CM502" s="21"/>
      <c r="CN502"/>
      <c r="CO502"/>
      <c r="CP502"/>
      <c r="CQ502" s="21"/>
      <c r="CR502" s="21"/>
      <c r="CS502" s="21"/>
    </row>
    <row r="503" spans="3:97" ht="15.75">
      <c r="K503" s="25"/>
      <c r="M503" s="26"/>
      <c r="N503" s="25"/>
      <c r="P503" s="26"/>
      <c r="Q503" s="25"/>
      <c r="S503" s="26"/>
      <c r="T503" s="25"/>
      <c r="V503" s="26"/>
      <c r="W503" s="25"/>
      <c r="Y503" s="26"/>
      <c r="Z503" s="25"/>
      <c r="AB503" s="26"/>
      <c r="BN503" s="24"/>
      <c r="BO503" s="21"/>
      <c r="BP503" s="21"/>
      <c r="BQ503" s="21"/>
      <c r="BS503" s="22"/>
      <c r="BT503" s="21"/>
      <c r="BU503" s="21"/>
      <c r="CB503" s="21"/>
      <c r="CC503" s="21"/>
      <c r="CD503" s="21"/>
      <c r="CE503" s="21"/>
      <c r="CF503" s="21"/>
      <c r="CI503" s="23"/>
      <c r="CJ503" s="21"/>
      <c r="CK503" s="21"/>
      <c r="CL503" s="21"/>
      <c r="CM503" s="21"/>
      <c r="CQ503" s="21"/>
      <c r="CR503" s="21"/>
      <c r="CS503" s="21"/>
    </row>
    <row r="504" spans="3:97" ht="15.75">
      <c r="K504" s="25"/>
      <c r="M504" s="26"/>
      <c r="N504" s="25"/>
      <c r="P504" s="26"/>
      <c r="Q504" s="25"/>
      <c r="S504" s="26"/>
      <c r="T504" s="25"/>
      <c r="V504" s="26"/>
      <c r="W504" s="25"/>
      <c r="Y504" s="26"/>
      <c r="Z504" s="25"/>
      <c r="AB504" s="26"/>
      <c r="BN504" s="24"/>
      <c r="BO504" s="21"/>
      <c r="BP504" s="21"/>
      <c r="BQ504" s="21"/>
      <c r="BS504" s="22"/>
      <c r="BT504" s="21"/>
      <c r="BU504" s="21"/>
      <c r="CB504" s="21"/>
      <c r="CC504" s="21"/>
      <c r="CD504" s="21"/>
      <c r="CE504" s="21"/>
      <c r="CF504" s="21"/>
      <c r="CI504" s="23"/>
      <c r="CJ504" s="21"/>
      <c r="CK504" s="21"/>
      <c r="CL504" s="21"/>
      <c r="CM504" s="21"/>
      <c r="CQ504" s="21"/>
      <c r="CR504" s="21"/>
      <c r="CS504" s="21"/>
    </row>
    <row r="505" spans="3:97" ht="15.75">
      <c r="K505" s="25"/>
      <c r="M505" s="26"/>
      <c r="N505" s="25"/>
      <c r="P505" s="26"/>
      <c r="Q505" s="25"/>
      <c r="S505" s="26"/>
      <c r="T505" s="25"/>
      <c r="V505" s="26"/>
      <c r="W505" s="25"/>
      <c r="Y505" s="26"/>
      <c r="Z505" s="25"/>
      <c r="AB505" s="26"/>
      <c r="BN505" s="24"/>
      <c r="BO505" s="21"/>
      <c r="BP505" s="21"/>
      <c r="BQ505" s="21"/>
      <c r="BS505" s="22"/>
      <c r="BT505" s="21"/>
      <c r="BU505" s="21"/>
      <c r="CB505" s="21"/>
      <c r="CC505" s="21"/>
      <c r="CD505" s="21"/>
      <c r="CE505" s="21"/>
      <c r="CF505" s="21"/>
      <c r="CI505" s="23"/>
      <c r="CJ505" s="21"/>
      <c r="CK505" s="21"/>
      <c r="CL505" s="21"/>
      <c r="CM505" s="21"/>
      <c r="CQ505" s="21"/>
      <c r="CR505" s="21"/>
      <c r="CS505" s="21"/>
    </row>
    <row r="506" spans="3:97" ht="15.75">
      <c r="K506" s="25"/>
      <c r="M506" s="26"/>
      <c r="N506" s="25"/>
      <c r="P506" s="26"/>
      <c r="Q506" s="25"/>
      <c r="S506" s="26"/>
      <c r="T506" s="25"/>
      <c r="V506" s="26"/>
      <c r="W506" s="25"/>
      <c r="Y506" s="26"/>
      <c r="Z506" s="25"/>
      <c r="AB506" s="26"/>
      <c r="BN506" s="24"/>
      <c r="BO506" s="21"/>
      <c r="BP506" s="21"/>
      <c r="BQ506" s="21"/>
      <c r="BS506" s="22"/>
      <c r="BT506" s="21"/>
      <c r="BU506" s="21"/>
      <c r="CB506" s="21"/>
      <c r="CC506" s="21"/>
      <c r="CD506" s="21"/>
      <c r="CE506" s="21"/>
      <c r="CF506" s="21"/>
      <c r="CI506" s="23"/>
      <c r="CJ506" s="21"/>
      <c r="CK506" s="21"/>
      <c r="CL506" s="21"/>
      <c r="CM506" s="21"/>
      <c r="CQ506" s="21"/>
      <c r="CR506" s="21"/>
      <c r="CS506" s="21"/>
    </row>
    <row r="507" spans="3:97" ht="15.75">
      <c r="K507" s="25"/>
      <c r="M507" s="26"/>
      <c r="N507" s="25"/>
      <c r="P507" s="26"/>
      <c r="Q507" s="25"/>
      <c r="S507" s="26"/>
      <c r="T507" s="25"/>
      <c r="V507" s="26"/>
      <c r="W507" s="25"/>
      <c r="Y507" s="26"/>
      <c r="Z507" s="25"/>
      <c r="AB507" s="26"/>
      <c r="BN507" s="24"/>
      <c r="BO507" s="21"/>
      <c r="BP507" s="21"/>
      <c r="BQ507" s="21"/>
      <c r="BS507" s="22"/>
      <c r="BT507" s="21"/>
      <c r="BU507" s="21"/>
      <c r="CB507" s="21"/>
      <c r="CC507" s="21"/>
      <c r="CD507" s="21"/>
      <c r="CE507" s="21"/>
      <c r="CF507" s="21"/>
      <c r="CI507" s="23"/>
      <c r="CJ507" s="21"/>
      <c r="CK507" s="21"/>
      <c r="CL507" s="21"/>
      <c r="CM507" s="21"/>
      <c r="CQ507" s="21"/>
      <c r="CR507" s="21"/>
      <c r="CS507" s="21"/>
    </row>
    <row r="508" spans="3:97" ht="15.75">
      <c r="K508" s="25"/>
      <c r="M508" s="26"/>
      <c r="N508" s="25"/>
      <c r="P508" s="26"/>
      <c r="Q508" s="25"/>
      <c r="S508" s="26"/>
      <c r="T508" s="25"/>
      <c r="V508" s="26"/>
      <c r="W508" s="25"/>
      <c r="Y508" s="26"/>
      <c r="Z508" s="25"/>
      <c r="AB508" s="26"/>
      <c r="BN508" s="24"/>
      <c r="BO508" s="21"/>
      <c r="BP508" s="21"/>
      <c r="BQ508" s="21"/>
      <c r="BS508" s="22"/>
      <c r="BT508" s="21"/>
      <c r="BU508" s="21"/>
      <c r="CB508" s="21"/>
      <c r="CC508" s="21"/>
      <c r="CD508" s="21"/>
      <c r="CE508" s="21"/>
      <c r="CF508" s="21"/>
      <c r="CI508" s="23"/>
      <c r="CJ508" s="21"/>
      <c r="CK508" s="21"/>
      <c r="CL508" s="21"/>
      <c r="CM508" s="21"/>
      <c r="CQ508" s="21"/>
      <c r="CR508" s="21"/>
      <c r="CS508" s="21"/>
    </row>
    <row r="509" spans="3:97" ht="15.75">
      <c r="K509" s="25"/>
      <c r="M509" s="26"/>
      <c r="N509" s="25"/>
      <c r="P509" s="26"/>
      <c r="Q509" s="25"/>
      <c r="S509" s="26"/>
      <c r="T509" s="25"/>
      <c r="V509" s="26"/>
      <c r="W509" s="25"/>
      <c r="Y509" s="26"/>
      <c r="Z509" s="25"/>
      <c r="AB509" s="26"/>
      <c r="BN509" s="24"/>
      <c r="BO509" s="21"/>
      <c r="BP509" s="21"/>
      <c r="BQ509" s="21"/>
      <c r="BS509" s="22"/>
      <c r="BT509" s="21"/>
      <c r="BU509" s="21"/>
      <c r="CB509" s="21"/>
      <c r="CC509" s="21"/>
      <c r="CD509" s="21"/>
      <c r="CE509" s="21"/>
      <c r="CF509" s="21"/>
      <c r="CI509" s="23"/>
      <c r="CJ509" s="21"/>
      <c r="CK509" s="21"/>
      <c r="CL509" s="21"/>
      <c r="CM509" s="21"/>
      <c r="CQ509" s="21"/>
      <c r="CR509" s="21"/>
      <c r="CS509" s="21"/>
    </row>
    <row r="510" spans="3:97" ht="15.75">
      <c r="K510" s="25"/>
      <c r="M510" s="26"/>
      <c r="N510" s="25"/>
      <c r="P510" s="26"/>
      <c r="Q510" s="25"/>
      <c r="S510" s="26"/>
      <c r="T510" s="25"/>
      <c r="V510" s="26"/>
      <c r="W510" s="25"/>
      <c r="Y510" s="26"/>
      <c r="Z510" s="25"/>
      <c r="AB510" s="26"/>
      <c r="BN510" s="24"/>
      <c r="BO510" s="21"/>
      <c r="BP510" s="21"/>
      <c r="BQ510" s="21"/>
      <c r="BS510" s="22"/>
      <c r="BT510" s="21"/>
      <c r="BU510" s="21"/>
      <c r="CB510" s="21"/>
      <c r="CC510" s="21"/>
      <c r="CD510" s="21"/>
      <c r="CE510" s="21"/>
      <c r="CF510" s="21"/>
      <c r="CI510" s="23"/>
      <c r="CJ510" s="21"/>
      <c r="CK510" s="21"/>
      <c r="CL510" s="21"/>
      <c r="CM510" s="21"/>
      <c r="CQ510" s="21"/>
      <c r="CR510" s="21"/>
      <c r="CS510" s="21"/>
    </row>
    <row r="511" spans="3:97" ht="15.75">
      <c r="K511" s="25"/>
      <c r="M511" s="26"/>
      <c r="N511" s="25"/>
      <c r="P511" s="26"/>
      <c r="Q511" s="25"/>
      <c r="S511" s="26"/>
      <c r="T511" s="25"/>
      <c r="V511" s="26"/>
      <c r="W511" s="25"/>
      <c r="Y511" s="26"/>
      <c r="Z511" s="25"/>
      <c r="AB511" s="26"/>
      <c r="BN511" s="24"/>
      <c r="BO511" s="21"/>
      <c r="BP511" s="21"/>
      <c r="BQ511" s="21"/>
      <c r="BS511" s="22"/>
      <c r="BT511" s="21"/>
      <c r="BU511" s="21"/>
      <c r="CB511" s="21"/>
      <c r="CC511" s="21"/>
      <c r="CD511" s="21"/>
      <c r="CE511" s="21"/>
      <c r="CF511" s="21"/>
      <c r="CI511" s="23"/>
      <c r="CJ511" s="21"/>
      <c r="CK511" s="21"/>
      <c r="CL511" s="21"/>
      <c r="CM511" s="21"/>
      <c r="CQ511" s="21"/>
      <c r="CR511" s="21"/>
      <c r="CS511" s="21"/>
    </row>
    <row r="512" spans="3:97" ht="15.75">
      <c r="K512" s="25"/>
      <c r="M512" s="26"/>
      <c r="N512" s="25"/>
      <c r="P512" s="26"/>
      <c r="Q512" s="25"/>
      <c r="S512" s="26"/>
      <c r="T512" s="25"/>
      <c r="V512" s="26"/>
      <c r="W512" s="25"/>
      <c r="Y512" s="26"/>
      <c r="Z512" s="25"/>
      <c r="AB512" s="26"/>
      <c r="BN512" s="24"/>
      <c r="BO512" s="21"/>
      <c r="BP512" s="21"/>
      <c r="BQ512" s="21"/>
      <c r="BS512" s="22"/>
      <c r="BT512" s="21"/>
      <c r="BU512" s="21"/>
      <c r="CB512" s="21"/>
      <c r="CC512" s="21"/>
      <c r="CD512" s="21"/>
      <c r="CE512" s="21"/>
      <c r="CF512" s="21"/>
      <c r="CI512" s="23"/>
      <c r="CJ512" s="21"/>
      <c r="CK512" s="21"/>
      <c r="CL512" s="21"/>
      <c r="CM512" s="21"/>
      <c r="CQ512" s="21"/>
      <c r="CR512" s="21"/>
      <c r="CS512" s="21"/>
    </row>
    <row r="513" spans="11:97" ht="15.75">
      <c r="K513" s="25"/>
      <c r="M513" s="26"/>
      <c r="N513" s="25"/>
      <c r="P513" s="26"/>
      <c r="Q513" s="25"/>
      <c r="S513" s="26"/>
      <c r="T513" s="25"/>
      <c r="V513" s="26"/>
      <c r="W513" s="25"/>
      <c r="Y513" s="26"/>
      <c r="Z513" s="25"/>
      <c r="AB513" s="26"/>
      <c r="BN513" s="24"/>
      <c r="BO513" s="21"/>
      <c r="BP513" s="21"/>
      <c r="BQ513" s="21"/>
      <c r="BS513" s="22"/>
      <c r="BT513" s="21"/>
      <c r="BU513" s="21"/>
      <c r="CB513" s="21"/>
      <c r="CC513" s="21"/>
      <c r="CD513" s="21"/>
      <c r="CE513" s="21"/>
      <c r="CF513" s="21"/>
      <c r="CI513" s="23"/>
      <c r="CJ513" s="21"/>
      <c r="CK513" s="21"/>
      <c r="CL513" s="21"/>
      <c r="CM513" s="21"/>
      <c r="CQ513" s="21"/>
      <c r="CR513" s="21"/>
      <c r="CS513" s="21"/>
    </row>
    <row r="514" spans="11:97" ht="15.75">
      <c r="K514" s="25"/>
      <c r="M514" s="26"/>
      <c r="N514" s="25"/>
      <c r="P514" s="26"/>
      <c r="Q514" s="25"/>
      <c r="S514" s="26"/>
      <c r="T514" s="25"/>
      <c r="V514" s="26"/>
      <c r="W514" s="25"/>
      <c r="Y514" s="26"/>
      <c r="Z514" s="25"/>
      <c r="AB514" s="26"/>
      <c r="BN514" s="24"/>
      <c r="BO514" s="21"/>
      <c r="BP514" s="21"/>
      <c r="BQ514" s="21"/>
      <c r="BS514" s="22"/>
      <c r="BT514" s="21"/>
      <c r="BU514" s="21"/>
      <c r="CB514" s="21"/>
      <c r="CC514" s="21"/>
      <c r="CD514" s="21"/>
      <c r="CE514" s="21"/>
      <c r="CF514" s="21"/>
      <c r="CI514" s="23"/>
      <c r="CJ514" s="21"/>
      <c r="CK514" s="21"/>
      <c r="CL514" s="21"/>
      <c r="CM514" s="21"/>
      <c r="CQ514" s="21"/>
      <c r="CR514" s="21"/>
      <c r="CS514" s="21"/>
    </row>
    <row r="515" spans="11:97" ht="15.75">
      <c r="K515" s="25"/>
      <c r="M515" s="26"/>
      <c r="N515" s="25"/>
      <c r="P515" s="26"/>
      <c r="Q515" s="25"/>
      <c r="S515" s="26"/>
      <c r="T515" s="25"/>
      <c r="V515" s="26"/>
      <c r="W515" s="25"/>
      <c r="Y515" s="26"/>
      <c r="Z515" s="25"/>
      <c r="AB515" s="26"/>
      <c r="BN515" s="24"/>
      <c r="BO515" s="21"/>
      <c r="BP515" s="21"/>
      <c r="BQ515" s="21"/>
      <c r="BS515" s="22"/>
      <c r="BT515" s="21"/>
      <c r="BU515" s="21"/>
      <c r="CB515" s="21"/>
      <c r="CC515" s="21"/>
      <c r="CD515" s="21"/>
      <c r="CE515" s="21"/>
      <c r="CF515" s="21"/>
      <c r="CI515" s="23"/>
      <c r="CJ515" s="21"/>
      <c r="CK515" s="21"/>
      <c r="CL515" s="21"/>
      <c r="CM515" s="21"/>
      <c r="CQ515" s="21"/>
      <c r="CR515" s="21"/>
      <c r="CS515" s="21"/>
    </row>
    <row r="516" spans="11:97" ht="15.75">
      <c r="K516" s="25"/>
      <c r="M516" s="26"/>
      <c r="N516" s="25"/>
      <c r="P516" s="26"/>
      <c r="Q516" s="25"/>
      <c r="S516" s="26"/>
      <c r="T516" s="25"/>
      <c r="V516" s="26"/>
      <c r="W516" s="25"/>
      <c r="Y516" s="26"/>
      <c r="Z516" s="25"/>
      <c r="AB516" s="26"/>
      <c r="BN516" s="24"/>
      <c r="BO516" s="21"/>
      <c r="BP516" s="21"/>
      <c r="BQ516" s="21"/>
      <c r="BS516" s="22"/>
      <c r="BT516" s="21"/>
      <c r="BU516" s="21"/>
      <c r="CB516" s="21"/>
      <c r="CC516" s="21"/>
      <c r="CD516" s="21"/>
      <c r="CE516" s="21"/>
      <c r="CF516" s="21"/>
      <c r="CI516" s="23"/>
      <c r="CJ516" s="21"/>
      <c r="CK516" s="21"/>
      <c r="CL516" s="21"/>
      <c r="CM516" s="21"/>
      <c r="CQ516" s="21"/>
      <c r="CR516" s="21"/>
      <c r="CS516" s="21"/>
    </row>
    <row r="517" spans="11:97" ht="15.75">
      <c r="K517" s="25"/>
      <c r="M517" s="26"/>
      <c r="N517" s="25"/>
      <c r="P517" s="26"/>
      <c r="Q517" s="25"/>
      <c r="S517" s="26"/>
      <c r="T517" s="25"/>
      <c r="V517" s="26"/>
      <c r="W517" s="25"/>
      <c r="Y517" s="26"/>
      <c r="Z517" s="25"/>
      <c r="AB517" s="26"/>
      <c r="BN517" s="24"/>
      <c r="BO517" s="21"/>
      <c r="BP517" s="21"/>
      <c r="BQ517" s="21"/>
      <c r="BS517" s="22"/>
      <c r="BT517" s="21"/>
      <c r="BU517" s="21"/>
      <c r="CB517" s="21"/>
      <c r="CC517" s="21"/>
      <c r="CD517" s="21"/>
      <c r="CE517" s="21"/>
      <c r="CF517" s="21"/>
      <c r="CI517" s="23"/>
      <c r="CJ517" s="21"/>
      <c r="CK517" s="21"/>
      <c r="CL517" s="21"/>
      <c r="CM517" s="21"/>
      <c r="CQ517" s="21"/>
      <c r="CR517" s="21"/>
      <c r="CS517" s="21"/>
    </row>
    <row r="518" spans="11:97" ht="15.75">
      <c r="K518" s="25"/>
      <c r="M518" s="26"/>
      <c r="N518" s="25"/>
      <c r="P518" s="26"/>
      <c r="Q518" s="25"/>
      <c r="S518" s="26"/>
      <c r="T518" s="25"/>
      <c r="V518" s="26"/>
      <c r="W518" s="25"/>
      <c r="Y518" s="26"/>
      <c r="Z518" s="25"/>
      <c r="AB518" s="26"/>
      <c r="BN518" s="24"/>
      <c r="BO518" s="21"/>
      <c r="BP518" s="21"/>
      <c r="BQ518" s="21"/>
      <c r="BS518" s="22"/>
      <c r="BT518" s="21"/>
      <c r="BU518" s="21"/>
      <c r="CB518" s="21"/>
      <c r="CC518" s="21"/>
      <c r="CD518" s="21"/>
      <c r="CE518" s="21"/>
      <c r="CF518" s="21"/>
      <c r="CI518" s="23"/>
      <c r="CJ518" s="21"/>
      <c r="CK518" s="21"/>
      <c r="CL518" s="21"/>
      <c r="CM518" s="21"/>
      <c r="CQ518" s="21"/>
      <c r="CR518" s="21"/>
      <c r="CS518" s="21"/>
    </row>
    <row r="519" spans="11:97" ht="15.75">
      <c r="K519" s="25"/>
      <c r="M519" s="26"/>
      <c r="N519" s="25"/>
      <c r="P519" s="26"/>
      <c r="Q519" s="25"/>
      <c r="S519" s="26"/>
      <c r="T519" s="25"/>
      <c r="V519" s="26"/>
      <c r="W519" s="25"/>
      <c r="Y519" s="26"/>
      <c r="Z519" s="25"/>
      <c r="AB519" s="26"/>
      <c r="BN519" s="24"/>
      <c r="BO519" s="21"/>
      <c r="BP519" s="21"/>
      <c r="BQ519" s="21"/>
      <c r="BS519" s="22"/>
      <c r="BT519" s="21"/>
      <c r="BU519" s="21"/>
      <c r="CB519" s="21"/>
      <c r="CC519" s="21"/>
      <c r="CD519" s="21"/>
      <c r="CE519" s="21"/>
      <c r="CF519" s="21"/>
      <c r="CI519" s="23"/>
      <c r="CJ519" s="21"/>
      <c r="CK519" s="21"/>
      <c r="CL519" s="21"/>
      <c r="CM519" s="21"/>
      <c r="CQ519" s="21"/>
      <c r="CR519" s="21"/>
      <c r="CS519" s="21"/>
    </row>
    <row r="520" spans="11:97" ht="15.75">
      <c r="K520" s="25"/>
      <c r="M520" s="26"/>
      <c r="N520" s="25"/>
      <c r="P520" s="26"/>
      <c r="Q520" s="25"/>
      <c r="S520" s="26"/>
      <c r="T520" s="25"/>
      <c r="V520" s="26"/>
      <c r="W520" s="25"/>
      <c r="Y520" s="26"/>
      <c r="Z520" s="25"/>
      <c r="AB520" s="26"/>
      <c r="BN520" s="24"/>
      <c r="BO520" s="21"/>
      <c r="BP520" s="21"/>
      <c r="BQ520" s="21"/>
      <c r="BS520" s="22"/>
      <c r="BT520" s="21"/>
      <c r="BU520" s="21"/>
      <c r="CB520" s="21"/>
      <c r="CC520" s="21"/>
      <c r="CD520" s="21"/>
      <c r="CE520" s="21"/>
      <c r="CF520" s="21"/>
      <c r="CI520" s="23"/>
      <c r="CJ520" s="21"/>
      <c r="CK520" s="21"/>
      <c r="CL520" s="21"/>
      <c r="CM520" s="21"/>
      <c r="CQ520" s="21"/>
      <c r="CR520" s="21"/>
      <c r="CS520" s="21"/>
    </row>
    <row r="521" spans="11:97" ht="15.75">
      <c r="K521" s="25"/>
      <c r="M521" s="26"/>
      <c r="N521" s="25"/>
      <c r="P521" s="26"/>
      <c r="Q521" s="25"/>
      <c r="S521" s="26"/>
      <c r="T521" s="25"/>
      <c r="V521" s="26"/>
      <c r="W521" s="25"/>
      <c r="Y521" s="26"/>
      <c r="Z521" s="25"/>
      <c r="AB521" s="26"/>
      <c r="BN521" s="24"/>
      <c r="BO521" s="21"/>
      <c r="BP521" s="21"/>
      <c r="BQ521" s="21"/>
      <c r="BS521" s="22"/>
      <c r="BT521" s="21"/>
      <c r="BU521" s="21"/>
      <c r="CB521" s="21"/>
      <c r="CC521" s="21"/>
      <c r="CD521" s="21"/>
      <c r="CE521" s="21"/>
      <c r="CF521" s="21"/>
      <c r="CI521" s="23"/>
      <c r="CJ521" s="21"/>
      <c r="CK521" s="21"/>
      <c r="CL521" s="21"/>
      <c r="CM521" s="21"/>
      <c r="CQ521" s="21"/>
      <c r="CR521" s="21"/>
      <c r="CS521" s="21"/>
    </row>
    <row r="522" spans="11:97" ht="15.75">
      <c r="K522" s="25"/>
      <c r="M522" s="26"/>
      <c r="N522" s="25"/>
      <c r="P522" s="26"/>
      <c r="Q522" s="25"/>
      <c r="S522" s="26"/>
      <c r="T522" s="25"/>
      <c r="V522" s="26"/>
      <c r="W522" s="25"/>
      <c r="Y522" s="26"/>
      <c r="Z522" s="25"/>
      <c r="AB522" s="26"/>
      <c r="BN522" s="24"/>
      <c r="BO522" s="21"/>
      <c r="BP522" s="21"/>
      <c r="BQ522" s="21"/>
      <c r="BS522" s="22"/>
      <c r="BT522" s="21"/>
      <c r="BU522" s="21"/>
      <c r="CB522" s="21"/>
      <c r="CC522" s="21"/>
      <c r="CD522" s="21"/>
      <c r="CE522" s="21"/>
      <c r="CF522" s="21"/>
      <c r="CI522" s="23"/>
      <c r="CJ522" s="21"/>
      <c r="CK522" s="21"/>
      <c r="CL522" s="21"/>
      <c r="CM522" s="21"/>
      <c r="CQ522" s="21"/>
      <c r="CR522" s="21"/>
      <c r="CS522" s="21"/>
    </row>
    <row r="523" spans="11:97" ht="15.75">
      <c r="K523" s="25"/>
      <c r="M523" s="26"/>
      <c r="N523" s="25"/>
      <c r="P523" s="26"/>
      <c r="Q523" s="25"/>
      <c r="S523" s="26"/>
      <c r="T523" s="25"/>
      <c r="V523" s="26"/>
      <c r="W523" s="25"/>
      <c r="Y523" s="26"/>
      <c r="Z523" s="25"/>
      <c r="AB523" s="26"/>
      <c r="BN523" s="24"/>
      <c r="BO523" s="21"/>
      <c r="BP523" s="21"/>
      <c r="BQ523" s="21"/>
      <c r="BS523" s="22"/>
      <c r="BT523" s="21"/>
      <c r="BU523" s="21"/>
      <c r="CB523" s="21"/>
      <c r="CC523" s="21"/>
      <c r="CD523" s="21"/>
      <c r="CE523" s="21"/>
      <c r="CF523" s="21"/>
      <c r="CI523" s="23"/>
      <c r="CJ523" s="21"/>
      <c r="CK523" s="21"/>
      <c r="CL523" s="21"/>
      <c r="CM523" s="21"/>
      <c r="CQ523" s="21"/>
      <c r="CR523" s="21"/>
      <c r="CS523" s="21"/>
    </row>
    <row r="524" spans="11:97" ht="15.75">
      <c r="K524" s="25"/>
      <c r="M524" s="26"/>
      <c r="N524" s="25"/>
      <c r="P524" s="26"/>
      <c r="Q524" s="25"/>
      <c r="S524" s="26"/>
      <c r="T524" s="25"/>
      <c r="V524" s="26"/>
      <c r="W524" s="25"/>
      <c r="Y524" s="26"/>
      <c r="Z524" s="25"/>
      <c r="AB524" s="26"/>
      <c r="BN524" s="24"/>
      <c r="BO524" s="21"/>
      <c r="BP524" s="21"/>
      <c r="BQ524" s="21"/>
      <c r="BS524" s="22"/>
      <c r="BT524" s="21"/>
      <c r="BU524" s="21"/>
      <c r="CB524" s="21"/>
      <c r="CC524" s="21"/>
      <c r="CD524" s="21"/>
      <c r="CE524" s="21"/>
      <c r="CF524" s="21"/>
      <c r="CI524" s="23"/>
      <c r="CJ524" s="21"/>
      <c r="CK524" s="21"/>
      <c r="CL524" s="21"/>
      <c r="CM524" s="21"/>
      <c r="CQ524" s="21"/>
      <c r="CR524" s="21"/>
      <c r="CS524" s="21"/>
    </row>
    <row r="525" spans="11:97" ht="15.75">
      <c r="K525" s="25"/>
      <c r="M525" s="26"/>
      <c r="N525" s="25"/>
      <c r="P525" s="26"/>
      <c r="Q525" s="25"/>
      <c r="S525" s="26"/>
      <c r="T525" s="25"/>
      <c r="V525" s="26"/>
      <c r="W525" s="25"/>
      <c r="Y525" s="26"/>
      <c r="Z525" s="25"/>
      <c r="AB525" s="26"/>
      <c r="BN525" s="24"/>
      <c r="BO525" s="21"/>
      <c r="BP525" s="21"/>
      <c r="BQ525" s="21"/>
      <c r="BS525" s="22"/>
      <c r="BT525" s="21"/>
      <c r="BU525" s="21"/>
      <c r="CB525" s="21"/>
      <c r="CC525" s="21"/>
      <c r="CD525" s="21"/>
      <c r="CE525" s="21"/>
      <c r="CF525" s="21"/>
      <c r="CI525" s="23"/>
      <c r="CJ525" s="21"/>
      <c r="CK525" s="21"/>
      <c r="CL525" s="21"/>
      <c r="CM525" s="21"/>
      <c r="CQ525" s="21"/>
      <c r="CR525" s="21"/>
      <c r="CS525" s="21"/>
    </row>
    <row r="526" spans="11:97" ht="15.75">
      <c r="K526" s="25"/>
      <c r="M526" s="26"/>
      <c r="N526" s="25"/>
      <c r="P526" s="26"/>
      <c r="Q526" s="25"/>
      <c r="S526" s="26"/>
      <c r="T526" s="25"/>
      <c r="V526" s="26"/>
      <c r="W526" s="25"/>
      <c r="Y526" s="26"/>
      <c r="Z526" s="25"/>
      <c r="AB526" s="26"/>
      <c r="BN526" s="24"/>
      <c r="BO526" s="21"/>
      <c r="BP526" s="21"/>
      <c r="BQ526" s="21"/>
      <c r="BS526" s="22"/>
      <c r="BT526" s="21"/>
      <c r="BU526" s="21"/>
      <c r="CB526" s="21"/>
      <c r="CC526" s="21"/>
      <c r="CD526" s="21"/>
      <c r="CE526" s="21"/>
      <c r="CF526" s="21"/>
      <c r="CI526" s="23"/>
      <c r="CJ526" s="21"/>
      <c r="CK526" s="21"/>
      <c r="CL526" s="21"/>
      <c r="CM526" s="21"/>
      <c r="CQ526" s="21"/>
      <c r="CR526" s="21"/>
      <c r="CS526" s="21"/>
    </row>
    <row r="527" spans="11:97" ht="15.75">
      <c r="K527" s="25"/>
      <c r="M527" s="26"/>
      <c r="N527" s="25"/>
      <c r="P527" s="26"/>
      <c r="Q527" s="25"/>
      <c r="S527" s="26"/>
      <c r="T527" s="25"/>
      <c r="V527" s="26"/>
      <c r="W527" s="25"/>
      <c r="Y527" s="26"/>
      <c r="Z527" s="25"/>
      <c r="AB527" s="26"/>
      <c r="BN527" s="24"/>
      <c r="BO527" s="21"/>
      <c r="BP527" s="21"/>
      <c r="BQ527" s="21"/>
      <c r="BS527" s="22"/>
      <c r="BT527" s="21"/>
      <c r="BU527" s="21"/>
      <c r="CB527" s="21"/>
      <c r="CC527" s="21"/>
      <c r="CD527" s="21"/>
      <c r="CE527" s="21"/>
      <c r="CF527" s="21"/>
      <c r="CI527" s="23"/>
      <c r="CJ527" s="21"/>
      <c r="CK527" s="21"/>
      <c r="CL527" s="21"/>
      <c r="CM527" s="21"/>
      <c r="CQ527" s="21"/>
      <c r="CR527" s="21"/>
      <c r="CS527" s="21"/>
    </row>
    <row r="528" spans="11:97" ht="15.75">
      <c r="K528" s="25"/>
      <c r="M528" s="26"/>
      <c r="N528" s="25"/>
      <c r="P528" s="26"/>
      <c r="Q528" s="25"/>
      <c r="S528" s="26"/>
      <c r="T528" s="25"/>
      <c r="V528" s="26"/>
      <c r="W528" s="25"/>
      <c r="Y528" s="26"/>
      <c r="Z528" s="25"/>
      <c r="AB528" s="26"/>
      <c r="BN528" s="24"/>
      <c r="BO528" s="21"/>
      <c r="BP528" s="21"/>
      <c r="BQ528" s="21"/>
      <c r="BS528" s="22"/>
      <c r="BT528" s="21"/>
      <c r="BU528" s="21"/>
      <c r="CB528" s="21"/>
      <c r="CC528" s="21"/>
      <c r="CD528" s="21"/>
      <c r="CE528" s="21"/>
      <c r="CF528" s="21"/>
      <c r="CI528" s="23"/>
      <c r="CJ528" s="21"/>
      <c r="CK528" s="21"/>
      <c r="CL528" s="21"/>
      <c r="CM528" s="21"/>
      <c r="CQ528" s="21"/>
      <c r="CR528" s="21"/>
      <c r="CS528" s="21"/>
    </row>
    <row r="529" spans="3:97" ht="15.75">
      <c r="K529" s="25"/>
      <c r="M529" s="26"/>
      <c r="N529" s="25"/>
      <c r="P529" s="26"/>
      <c r="Q529" s="25"/>
      <c r="S529" s="26"/>
      <c r="T529" s="25"/>
      <c r="V529" s="26"/>
      <c r="W529" s="25"/>
      <c r="Y529" s="26"/>
      <c r="Z529" s="25"/>
      <c r="AB529" s="26"/>
      <c r="BN529" s="24"/>
      <c r="BO529" s="21"/>
      <c r="BP529" s="21"/>
      <c r="BQ529" s="21"/>
      <c r="BS529" s="22"/>
      <c r="BT529" s="21"/>
      <c r="BU529" s="21"/>
      <c r="CB529" s="21"/>
      <c r="CC529" s="21"/>
      <c r="CD529" s="21"/>
      <c r="CE529" s="21"/>
      <c r="CF529" s="21"/>
      <c r="CI529" s="23"/>
      <c r="CJ529" s="21"/>
      <c r="CK529" s="21"/>
      <c r="CL529" s="21"/>
      <c r="CM529" s="21"/>
      <c r="CQ529" s="21"/>
      <c r="CR529" s="21"/>
      <c r="CS529" s="21"/>
    </row>
    <row r="530" spans="3:97" ht="15.75">
      <c r="K530" s="25"/>
      <c r="M530" s="26"/>
      <c r="N530" s="25"/>
      <c r="P530" s="26"/>
      <c r="Q530" s="25"/>
      <c r="S530" s="26"/>
      <c r="T530" s="25"/>
      <c r="V530" s="26"/>
      <c r="W530" s="25"/>
      <c r="Y530" s="26"/>
      <c r="Z530" s="25"/>
      <c r="AB530" s="26"/>
      <c r="BN530" s="24"/>
      <c r="BO530" s="21"/>
      <c r="BP530" s="21"/>
      <c r="BQ530" s="21"/>
      <c r="BS530" s="22"/>
      <c r="BT530" s="21"/>
      <c r="BU530" s="21"/>
      <c r="CB530" s="21"/>
      <c r="CC530" s="21"/>
      <c r="CD530" s="21"/>
      <c r="CE530" s="21"/>
      <c r="CF530" s="21"/>
      <c r="CI530" s="23"/>
      <c r="CJ530" s="21"/>
      <c r="CK530" s="21"/>
      <c r="CL530" s="21"/>
      <c r="CM530" s="21"/>
      <c r="CQ530" s="21"/>
      <c r="CR530" s="21"/>
      <c r="CS530" s="21"/>
    </row>
    <row r="531" spans="3:97" s="14" customFormat="1" ht="15.75">
      <c r="C531"/>
      <c r="D531"/>
      <c r="E531"/>
      <c r="F531" s="15"/>
      <c r="K531" s="16"/>
      <c r="M531" s="17"/>
      <c r="N531" s="16"/>
      <c r="P531" s="17"/>
      <c r="Q531" s="16"/>
      <c r="S531" s="17"/>
      <c r="T531" s="16"/>
      <c r="V531" s="17"/>
      <c r="W531" s="16"/>
      <c r="Y531" s="17"/>
      <c r="Z531" s="16"/>
      <c r="AB531" s="17"/>
      <c r="BN531" s="24"/>
      <c r="BO531" s="21"/>
      <c r="BP531" s="21"/>
      <c r="BQ531" s="21"/>
      <c r="BR531"/>
      <c r="BS531" s="22"/>
      <c r="BT531" s="21"/>
      <c r="BU531" s="21"/>
      <c r="BV531"/>
      <c r="BW531"/>
      <c r="BX531"/>
      <c r="BY531"/>
      <c r="BZ531"/>
      <c r="CA531"/>
      <c r="CB531" s="21"/>
      <c r="CC531" s="21"/>
      <c r="CD531" s="21"/>
      <c r="CE531" s="21"/>
      <c r="CF531" s="21"/>
      <c r="CG531"/>
      <c r="CH531"/>
      <c r="CI531" s="23"/>
      <c r="CJ531" s="21"/>
      <c r="CK531" s="21"/>
      <c r="CL531" s="21"/>
      <c r="CM531" s="21"/>
      <c r="CN531"/>
      <c r="CO531"/>
      <c r="CP531"/>
      <c r="CQ531" s="21"/>
      <c r="CR531" s="21"/>
      <c r="CS531" s="21"/>
    </row>
    <row r="532" spans="3:97" ht="15.75">
      <c r="K532" s="25"/>
      <c r="M532" s="26"/>
      <c r="N532" s="25"/>
      <c r="P532" s="26"/>
      <c r="Q532" s="25"/>
      <c r="S532" s="26"/>
      <c r="T532" s="25"/>
      <c r="V532" s="26"/>
      <c r="W532" s="25"/>
      <c r="Y532" s="26"/>
      <c r="Z532" s="25"/>
      <c r="AB532" s="26"/>
      <c r="BN532" s="24"/>
      <c r="BO532" s="21"/>
      <c r="BP532" s="21"/>
      <c r="BQ532" s="21"/>
      <c r="BS532" s="22"/>
      <c r="BT532" s="21"/>
      <c r="BU532" s="21"/>
      <c r="CB532" s="21"/>
      <c r="CC532" s="21"/>
      <c r="CD532" s="21"/>
      <c r="CE532" s="21"/>
      <c r="CF532" s="21"/>
      <c r="CI532" s="23"/>
      <c r="CJ532" s="21"/>
      <c r="CK532" s="21"/>
      <c r="CL532" s="21"/>
      <c r="CM532" s="21"/>
      <c r="CQ532" s="21"/>
      <c r="CR532" s="21"/>
      <c r="CS532" s="21"/>
    </row>
    <row r="533" spans="3:97" ht="15.75">
      <c r="K533" s="25"/>
      <c r="M533" s="26"/>
      <c r="N533" s="25"/>
      <c r="P533" s="26"/>
      <c r="Q533" s="25"/>
      <c r="S533" s="26"/>
      <c r="T533" s="25"/>
      <c r="V533" s="26"/>
      <c r="W533" s="25"/>
      <c r="Y533" s="26"/>
      <c r="Z533" s="25"/>
      <c r="AB533" s="26"/>
      <c r="BN533" s="24"/>
      <c r="BO533" s="21"/>
      <c r="BP533" s="21"/>
      <c r="BQ533" s="21"/>
      <c r="BS533" s="22"/>
      <c r="BT533" s="21"/>
      <c r="BU533" s="21"/>
      <c r="CB533" s="21"/>
      <c r="CC533" s="21"/>
      <c r="CD533" s="21"/>
      <c r="CE533" s="21"/>
      <c r="CF533" s="21"/>
      <c r="CI533" s="23"/>
      <c r="CJ533" s="21"/>
      <c r="CK533" s="21"/>
      <c r="CL533" s="21"/>
      <c r="CM533" s="21"/>
      <c r="CQ533" s="21"/>
      <c r="CR533" s="21"/>
      <c r="CS533" s="21"/>
    </row>
    <row r="534" spans="3:97" ht="15.75">
      <c r="K534" s="25"/>
      <c r="M534" s="26"/>
      <c r="N534" s="25"/>
      <c r="P534" s="26"/>
      <c r="Q534" s="25"/>
      <c r="S534" s="26"/>
      <c r="T534" s="25"/>
      <c r="V534" s="26"/>
      <c r="W534" s="25"/>
      <c r="Y534" s="26"/>
      <c r="Z534" s="25"/>
      <c r="AB534" s="26"/>
      <c r="BN534" s="24"/>
      <c r="BO534" s="21"/>
      <c r="BP534" s="21"/>
      <c r="BQ534" s="21"/>
      <c r="BS534" s="22"/>
      <c r="BT534" s="21"/>
      <c r="BU534" s="21"/>
      <c r="CB534" s="21"/>
      <c r="CC534" s="21"/>
      <c r="CD534" s="21"/>
      <c r="CE534" s="21"/>
      <c r="CF534" s="21"/>
      <c r="CI534" s="23"/>
      <c r="CJ534" s="21"/>
      <c r="CK534" s="21"/>
      <c r="CL534" s="21"/>
      <c r="CM534" s="21"/>
      <c r="CQ534" s="21"/>
      <c r="CR534" s="21"/>
      <c r="CS534" s="21"/>
    </row>
    <row r="535" spans="3:97" ht="15.75">
      <c r="K535" s="25"/>
      <c r="M535" s="26"/>
      <c r="N535" s="25"/>
      <c r="P535" s="26"/>
      <c r="Q535" s="25"/>
      <c r="S535" s="26"/>
      <c r="T535" s="25"/>
      <c r="V535" s="26"/>
      <c r="W535" s="25"/>
      <c r="Y535" s="26"/>
      <c r="Z535" s="25"/>
      <c r="AB535" s="26"/>
      <c r="BN535" s="24"/>
      <c r="BO535" s="21"/>
      <c r="BP535" s="21"/>
      <c r="BQ535" s="21"/>
      <c r="BS535" s="22"/>
      <c r="BT535" s="21"/>
      <c r="BU535" s="21"/>
      <c r="CB535" s="21"/>
      <c r="CC535" s="21"/>
      <c r="CD535" s="21"/>
      <c r="CE535" s="21"/>
      <c r="CF535" s="21"/>
      <c r="CI535" s="23"/>
      <c r="CJ535" s="21"/>
      <c r="CK535" s="21"/>
      <c r="CL535" s="21"/>
      <c r="CM535" s="21"/>
      <c r="CQ535" s="21"/>
      <c r="CR535" s="21"/>
      <c r="CS535" s="21"/>
    </row>
    <row r="536" spans="3:97" ht="15.75">
      <c r="K536" s="25"/>
      <c r="M536" s="26"/>
      <c r="N536" s="25"/>
      <c r="P536" s="26"/>
      <c r="Q536" s="25"/>
      <c r="S536" s="26"/>
      <c r="T536" s="25"/>
      <c r="V536" s="26"/>
      <c r="W536" s="25"/>
      <c r="Y536" s="26"/>
      <c r="Z536" s="25"/>
      <c r="AB536" s="26"/>
      <c r="BN536" s="24"/>
      <c r="BO536" s="21"/>
      <c r="BP536" s="21"/>
      <c r="BQ536" s="21"/>
      <c r="BS536" s="22"/>
      <c r="BT536" s="21"/>
      <c r="BU536" s="21"/>
      <c r="CB536" s="21"/>
      <c r="CC536" s="21"/>
      <c r="CD536" s="21"/>
      <c r="CE536" s="21"/>
      <c r="CF536" s="21"/>
      <c r="CI536" s="23"/>
      <c r="CJ536" s="21"/>
      <c r="CK536" s="21"/>
      <c r="CL536" s="21"/>
      <c r="CM536" s="21"/>
      <c r="CQ536" s="21"/>
      <c r="CR536" s="21"/>
      <c r="CS536" s="21"/>
    </row>
    <row r="537" spans="3:97" ht="15.75">
      <c r="K537" s="25"/>
      <c r="M537" s="26"/>
      <c r="N537" s="25"/>
      <c r="P537" s="26"/>
      <c r="Q537" s="25"/>
      <c r="S537" s="26"/>
      <c r="T537" s="25"/>
      <c r="V537" s="26"/>
      <c r="W537" s="25"/>
      <c r="Y537" s="26"/>
      <c r="Z537" s="25"/>
      <c r="AB537" s="26"/>
      <c r="BN537" s="24"/>
      <c r="BO537" s="21"/>
      <c r="BP537" s="21"/>
      <c r="BQ537" s="21"/>
      <c r="BS537" s="22"/>
      <c r="BT537" s="21"/>
      <c r="BU537" s="21"/>
      <c r="CB537" s="21"/>
      <c r="CC537" s="21"/>
      <c r="CD537" s="21"/>
      <c r="CE537" s="21"/>
      <c r="CF537" s="21"/>
      <c r="CI537" s="23"/>
      <c r="CJ537" s="21"/>
      <c r="CK537" s="21"/>
      <c r="CL537" s="21"/>
      <c r="CM537" s="21"/>
      <c r="CQ537" s="21"/>
      <c r="CR537" s="21"/>
      <c r="CS537" s="21"/>
    </row>
    <row r="538" spans="3:97" ht="15.75">
      <c r="K538" s="25"/>
      <c r="M538" s="26"/>
      <c r="N538" s="25"/>
      <c r="P538" s="26"/>
      <c r="Q538" s="25"/>
      <c r="S538" s="26"/>
      <c r="T538" s="25"/>
      <c r="V538" s="26"/>
      <c r="W538" s="25"/>
      <c r="Y538" s="26"/>
      <c r="Z538" s="25"/>
      <c r="AB538" s="26"/>
      <c r="BN538" s="24"/>
      <c r="BO538" s="21"/>
      <c r="BP538" s="21"/>
      <c r="BQ538" s="21"/>
      <c r="BS538" s="22"/>
      <c r="BT538" s="21"/>
      <c r="BU538" s="21"/>
      <c r="CB538" s="21"/>
      <c r="CC538" s="21"/>
      <c r="CD538" s="21"/>
      <c r="CE538" s="21"/>
      <c r="CF538" s="21"/>
      <c r="CI538" s="23"/>
      <c r="CJ538" s="21"/>
      <c r="CK538" s="21"/>
      <c r="CL538" s="21"/>
      <c r="CM538" s="21"/>
      <c r="CQ538" s="21"/>
      <c r="CR538" s="21"/>
      <c r="CS538" s="21"/>
    </row>
    <row r="539" spans="3:97" ht="15.75">
      <c r="K539" s="25"/>
      <c r="M539" s="26"/>
      <c r="N539" s="25"/>
      <c r="P539" s="26"/>
      <c r="Q539" s="25"/>
      <c r="S539" s="26"/>
      <c r="T539" s="25"/>
      <c r="V539" s="26"/>
      <c r="W539" s="25"/>
      <c r="Y539" s="26"/>
      <c r="Z539" s="25"/>
      <c r="AB539" s="26"/>
      <c r="BN539" s="24"/>
      <c r="BO539" s="21"/>
      <c r="BP539" s="21"/>
      <c r="BQ539" s="21"/>
      <c r="BS539" s="22"/>
      <c r="BT539" s="21"/>
      <c r="BU539" s="21"/>
      <c r="CB539" s="21"/>
      <c r="CC539" s="21"/>
      <c r="CD539" s="21"/>
      <c r="CE539" s="21"/>
      <c r="CF539" s="21"/>
      <c r="CI539" s="23"/>
      <c r="CJ539" s="21"/>
      <c r="CK539" s="21"/>
      <c r="CL539" s="21"/>
      <c r="CM539" s="21"/>
      <c r="CQ539" s="21"/>
      <c r="CR539" s="21"/>
      <c r="CS539" s="21"/>
    </row>
    <row r="540" spans="3:97" ht="15.75">
      <c r="K540" s="25"/>
      <c r="M540" s="26"/>
      <c r="N540" s="25"/>
      <c r="P540" s="26"/>
      <c r="Q540" s="25"/>
      <c r="S540" s="26"/>
      <c r="T540" s="25"/>
      <c r="V540" s="26"/>
      <c r="W540" s="25"/>
      <c r="Y540" s="26"/>
      <c r="Z540" s="25"/>
      <c r="AB540" s="26"/>
      <c r="BN540" s="24"/>
      <c r="BO540" s="21"/>
      <c r="BP540" s="21"/>
      <c r="BQ540" s="21"/>
      <c r="BS540" s="22"/>
      <c r="BT540" s="21"/>
      <c r="BU540" s="21"/>
      <c r="CB540" s="21"/>
      <c r="CC540" s="21"/>
      <c r="CD540" s="21"/>
      <c r="CE540" s="21"/>
      <c r="CF540" s="21"/>
      <c r="CI540" s="23"/>
      <c r="CJ540" s="21"/>
      <c r="CK540" s="21"/>
      <c r="CL540" s="21"/>
      <c r="CM540" s="21"/>
      <c r="CQ540" s="21"/>
      <c r="CR540" s="21"/>
      <c r="CS540" s="21"/>
    </row>
    <row r="541" spans="3:97" ht="15.75">
      <c r="K541" s="25"/>
      <c r="M541" s="26"/>
      <c r="N541" s="25"/>
      <c r="P541" s="26"/>
      <c r="Q541" s="25"/>
      <c r="S541" s="26"/>
      <c r="T541" s="25"/>
      <c r="V541" s="26"/>
      <c r="W541" s="25"/>
      <c r="Y541" s="26"/>
      <c r="Z541" s="25"/>
      <c r="AB541" s="26"/>
      <c r="BN541" s="24"/>
      <c r="BO541" s="21"/>
      <c r="BP541" s="21"/>
      <c r="BQ541" s="21"/>
      <c r="BS541" s="22"/>
      <c r="BT541" s="21"/>
      <c r="BU541" s="21"/>
      <c r="CB541" s="21"/>
      <c r="CC541" s="21"/>
      <c r="CD541" s="21"/>
      <c r="CE541" s="21"/>
      <c r="CF541" s="21"/>
      <c r="CI541" s="23"/>
      <c r="CJ541" s="21"/>
      <c r="CK541" s="21"/>
      <c r="CL541" s="21"/>
      <c r="CM541" s="21"/>
      <c r="CQ541" s="21"/>
      <c r="CR541" s="21"/>
      <c r="CS541" s="21"/>
    </row>
    <row r="542" spans="3:97" ht="15.75">
      <c r="K542" s="25"/>
      <c r="M542" s="26"/>
      <c r="N542" s="25"/>
      <c r="P542" s="26"/>
      <c r="Q542" s="25"/>
      <c r="S542" s="26"/>
      <c r="T542" s="25"/>
      <c r="V542" s="26"/>
      <c r="W542" s="25"/>
      <c r="Y542" s="26"/>
      <c r="Z542" s="25"/>
      <c r="AB542" s="26"/>
      <c r="BN542" s="24"/>
      <c r="BO542" s="21"/>
      <c r="BP542" s="21"/>
      <c r="BQ542" s="21"/>
      <c r="BS542" s="22"/>
      <c r="BT542" s="21"/>
      <c r="BU542" s="21"/>
      <c r="CB542" s="21"/>
      <c r="CC542" s="21"/>
      <c r="CD542" s="21"/>
      <c r="CE542" s="21"/>
      <c r="CF542" s="21"/>
      <c r="CI542" s="23"/>
      <c r="CJ542" s="21"/>
      <c r="CK542" s="21"/>
      <c r="CL542" s="21"/>
      <c r="CM542" s="21"/>
      <c r="CQ542" s="21"/>
      <c r="CR542" s="21"/>
      <c r="CS542" s="21"/>
    </row>
    <row r="543" spans="3:97" ht="15.75">
      <c r="K543" s="25"/>
      <c r="M543" s="26"/>
      <c r="N543" s="25"/>
      <c r="P543" s="26"/>
      <c r="Q543" s="25"/>
      <c r="S543" s="26"/>
      <c r="T543" s="25"/>
      <c r="V543" s="26"/>
      <c r="W543" s="25"/>
      <c r="Y543" s="26"/>
      <c r="Z543" s="25"/>
      <c r="AB543" s="26"/>
      <c r="BN543" s="24"/>
      <c r="BO543" s="21"/>
      <c r="BP543" s="21"/>
      <c r="BQ543" s="21"/>
      <c r="BS543" s="22"/>
      <c r="BT543" s="21"/>
      <c r="BU543" s="21"/>
      <c r="CB543" s="21"/>
      <c r="CC543" s="21"/>
      <c r="CD543" s="21"/>
      <c r="CE543" s="21"/>
      <c r="CF543" s="21"/>
      <c r="CI543" s="23"/>
      <c r="CJ543" s="21"/>
      <c r="CK543" s="21"/>
      <c r="CL543" s="21"/>
      <c r="CM543" s="21"/>
      <c r="CQ543" s="21"/>
      <c r="CR543" s="21"/>
      <c r="CS543" s="21"/>
    </row>
    <row r="544" spans="3:97" ht="15.75">
      <c r="K544" s="25"/>
      <c r="M544" s="26"/>
      <c r="N544" s="25"/>
      <c r="P544" s="26"/>
      <c r="Q544" s="25"/>
      <c r="S544" s="26"/>
      <c r="T544" s="25"/>
      <c r="V544" s="26"/>
      <c r="W544" s="25"/>
      <c r="Y544" s="26"/>
      <c r="Z544" s="25"/>
      <c r="AB544" s="26"/>
      <c r="BN544" s="24"/>
      <c r="BO544" s="21"/>
      <c r="BP544" s="21"/>
      <c r="BQ544" s="21"/>
      <c r="BS544" s="22"/>
      <c r="BT544" s="21"/>
      <c r="BU544" s="21"/>
      <c r="CB544" s="21"/>
      <c r="CC544" s="21"/>
      <c r="CD544" s="21"/>
      <c r="CE544" s="21"/>
      <c r="CF544" s="21"/>
      <c r="CI544" s="23"/>
      <c r="CJ544" s="21"/>
      <c r="CK544" s="21"/>
      <c r="CL544" s="21"/>
      <c r="CM544" s="21"/>
      <c r="CQ544" s="21"/>
      <c r="CR544" s="21"/>
      <c r="CS544" s="21"/>
    </row>
    <row r="545" spans="11:97" ht="15.75">
      <c r="K545" s="25"/>
      <c r="M545" s="26"/>
      <c r="N545" s="25"/>
      <c r="P545" s="26"/>
      <c r="Q545" s="25"/>
      <c r="S545" s="26"/>
      <c r="T545" s="25"/>
      <c r="V545" s="26"/>
      <c r="W545" s="25"/>
      <c r="Y545" s="26"/>
      <c r="Z545" s="25"/>
      <c r="AB545" s="26"/>
      <c r="BN545" s="24"/>
      <c r="BO545" s="21"/>
      <c r="BP545" s="21"/>
      <c r="BQ545" s="21"/>
      <c r="BS545" s="22"/>
      <c r="BT545" s="21"/>
      <c r="BU545" s="21"/>
      <c r="CB545" s="21"/>
      <c r="CC545" s="21"/>
      <c r="CD545" s="21"/>
      <c r="CE545" s="21"/>
      <c r="CF545" s="21"/>
      <c r="CI545" s="23"/>
      <c r="CJ545" s="21"/>
      <c r="CK545" s="21"/>
      <c r="CL545" s="21"/>
      <c r="CM545" s="21"/>
      <c r="CQ545" s="21"/>
      <c r="CR545" s="21"/>
      <c r="CS545" s="21"/>
    </row>
    <row r="546" spans="11:97" ht="15.75">
      <c r="K546" s="25"/>
      <c r="M546" s="26"/>
      <c r="N546" s="25"/>
      <c r="P546" s="26"/>
      <c r="Q546" s="25"/>
      <c r="S546" s="26"/>
      <c r="T546" s="25"/>
      <c r="V546" s="26"/>
      <c r="W546" s="25"/>
      <c r="Y546" s="26"/>
      <c r="Z546" s="25"/>
      <c r="AB546" s="26"/>
      <c r="BN546" s="24"/>
      <c r="BO546" s="21"/>
      <c r="BP546" s="21"/>
      <c r="BQ546" s="21"/>
      <c r="BS546" s="22"/>
      <c r="BT546" s="21"/>
      <c r="BU546" s="21"/>
      <c r="CB546" s="21"/>
      <c r="CC546" s="21"/>
      <c r="CD546" s="21"/>
      <c r="CE546" s="21"/>
      <c r="CF546" s="21"/>
      <c r="CI546" s="23"/>
      <c r="CJ546" s="21"/>
      <c r="CK546" s="21"/>
      <c r="CL546" s="21"/>
      <c r="CM546" s="21"/>
      <c r="CQ546" s="21"/>
      <c r="CR546" s="21"/>
      <c r="CS546" s="21"/>
    </row>
    <row r="547" spans="11:97" ht="15.75">
      <c r="K547" s="25"/>
      <c r="M547" s="26"/>
      <c r="N547" s="25"/>
      <c r="P547" s="26"/>
      <c r="Q547" s="25"/>
      <c r="S547" s="26"/>
      <c r="T547" s="25"/>
      <c r="V547" s="26"/>
      <c r="W547" s="25"/>
      <c r="Y547" s="26"/>
      <c r="Z547" s="25"/>
      <c r="AB547" s="26"/>
      <c r="BN547" s="24"/>
      <c r="BO547" s="21"/>
      <c r="BP547" s="21"/>
      <c r="BQ547" s="21"/>
      <c r="BS547" s="22"/>
      <c r="BT547" s="21"/>
      <c r="BU547" s="21"/>
      <c r="CB547" s="21"/>
      <c r="CC547" s="21"/>
      <c r="CD547" s="21"/>
      <c r="CE547" s="21"/>
      <c r="CF547" s="21"/>
      <c r="CI547" s="23"/>
      <c r="CJ547" s="21"/>
      <c r="CK547" s="21"/>
      <c r="CL547" s="21"/>
      <c r="CM547" s="21"/>
      <c r="CQ547" s="21"/>
      <c r="CR547" s="21"/>
      <c r="CS547" s="21"/>
    </row>
    <row r="548" spans="11:97" ht="15.75">
      <c r="K548" s="25"/>
      <c r="M548" s="26"/>
      <c r="N548" s="25"/>
      <c r="P548" s="26"/>
      <c r="Q548" s="25"/>
      <c r="S548" s="26"/>
      <c r="T548" s="25"/>
      <c r="V548" s="26"/>
      <c r="W548" s="25"/>
      <c r="Y548" s="26"/>
      <c r="Z548" s="25"/>
      <c r="AB548" s="26"/>
      <c r="BN548" s="24"/>
      <c r="BO548" s="21"/>
      <c r="BP548" s="21"/>
      <c r="BQ548" s="21"/>
      <c r="BS548" s="22"/>
      <c r="BT548" s="21"/>
      <c r="BU548" s="21"/>
      <c r="CB548" s="21"/>
      <c r="CC548" s="21"/>
      <c r="CD548" s="21"/>
      <c r="CE548" s="21"/>
      <c r="CF548" s="21"/>
      <c r="CI548" s="23"/>
      <c r="CJ548" s="21"/>
      <c r="CK548" s="21"/>
      <c r="CL548" s="21"/>
      <c r="CM548" s="21"/>
      <c r="CQ548" s="21"/>
      <c r="CR548" s="21"/>
      <c r="CS548" s="21"/>
    </row>
    <row r="549" spans="11:97" ht="15.75">
      <c r="K549" s="25"/>
      <c r="M549" s="26"/>
      <c r="N549" s="25"/>
      <c r="P549" s="26"/>
      <c r="Q549" s="25"/>
      <c r="S549" s="26"/>
      <c r="T549" s="25"/>
      <c r="V549" s="26"/>
      <c r="W549" s="25"/>
      <c r="Y549" s="26"/>
      <c r="Z549" s="25"/>
      <c r="AB549" s="26"/>
      <c r="BN549" s="24"/>
      <c r="BO549" s="21"/>
      <c r="BP549" s="21"/>
      <c r="BQ549" s="21"/>
      <c r="BS549" s="22"/>
      <c r="BT549" s="21"/>
      <c r="BU549" s="21"/>
      <c r="CB549" s="21"/>
      <c r="CC549" s="21"/>
      <c r="CD549" s="21"/>
      <c r="CE549" s="21"/>
      <c r="CF549" s="21"/>
      <c r="CI549" s="23"/>
      <c r="CJ549" s="21"/>
      <c r="CK549" s="21"/>
      <c r="CL549" s="21"/>
      <c r="CM549" s="21"/>
      <c r="CQ549" s="21"/>
      <c r="CR549" s="21"/>
      <c r="CS549" s="21"/>
    </row>
    <row r="550" spans="11:97" ht="15.75">
      <c r="K550" s="25"/>
      <c r="M550" s="26"/>
      <c r="N550" s="25"/>
      <c r="P550" s="26"/>
      <c r="Q550" s="25"/>
      <c r="S550" s="26"/>
      <c r="T550" s="25"/>
      <c r="V550" s="26"/>
      <c r="W550" s="25"/>
      <c r="Y550" s="26"/>
      <c r="Z550" s="25"/>
      <c r="AB550" s="26"/>
      <c r="BN550" s="24"/>
      <c r="BO550" s="21"/>
      <c r="BP550" s="21"/>
      <c r="BQ550" s="21"/>
      <c r="BS550" s="22"/>
      <c r="BT550" s="21"/>
      <c r="BU550" s="21"/>
      <c r="CB550" s="21"/>
      <c r="CC550" s="21"/>
      <c r="CD550" s="21"/>
      <c r="CE550" s="21"/>
      <c r="CF550" s="21"/>
      <c r="CI550" s="23"/>
      <c r="CJ550" s="21"/>
      <c r="CK550" s="21"/>
      <c r="CL550" s="21"/>
      <c r="CM550" s="21"/>
      <c r="CQ550" s="21"/>
      <c r="CR550" s="21"/>
      <c r="CS550" s="21"/>
    </row>
    <row r="551" spans="11:97" ht="15.75">
      <c r="K551" s="25"/>
      <c r="M551" s="26"/>
      <c r="N551" s="25"/>
      <c r="P551" s="26"/>
      <c r="Q551" s="25"/>
      <c r="S551" s="26"/>
      <c r="T551" s="25"/>
      <c r="V551" s="26"/>
      <c r="W551" s="25"/>
      <c r="Y551" s="26"/>
      <c r="Z551" s="25"/>
      <c r="AB551" s="26"/>
      <c r="BN551" s="24"/>
      <c r="BO551" s="21"/>
      <c r="BP551" s="21"/>
      <c r="BQ551" s="21"/>
      <c r="BS551" s="22"/>
      <c r="BT551" s="21"/>
      <c r="BU551" s="21"/>
      <c r="CB551" s="21"/>
      <c r="CC551" s="21"/>
      <c r="CD551" s="21"/>
      <c r="CE551" s="21"/>
      <c r="CF551" s="21"/>
      <c r="CI551" s="23"/>
      <c r="CJ551" s="21"/>
      <c r="CK551" s="21"/>
      <c r="CL551" s="21"/>
      <c r="CM551" s="21"/>
      <c r="CQ551" s="21"/>
      <c r="CR551" s="21"/>
      <c r="CS551" s="21"/>
    </row>
    <row r="552" spans="11:97" ht="15.75">
      <c r="K552" s="25"/>
      <c r="M552" s="26"/>
      <c r="N552" s="25"/>
      <c r="P552" s="26"/>
      <c r="Q552" s="25"/>
      <c r="S552" s="26"/>
      <c r="T552" s="25"/>
      <c r="V552" s="26"/>
      <c r="W552" s="25"/>
      <c r="Y552" s="26"/>
      <c r="Z552" s="25"/>
      <c r="AB552" s="26"/>
      <c r="BN552" s="24"/>
      <c r="BO552" s="21"/>
      <c r="BP552" s="21"/>
      <c r="BQ552" s="21"/>
      <c r="BS552" s="22"/>
      <c r="BT552" s="21"/>
      <c r="BU552" s="21"/>
      <c r="CB552" s="21"/>
      <c r="CC552" s="21"/>
      <c r="CD552" s="21"/>
      <c r="CE552" s="21"/>
      <c r="CF552" s="21"/>
      <c r="CI552" s="23"/>
      <c r="CJ552" s="21"/>
      <c r="CK552" s="21"/>
      <c r="CL552" s="21"/>
      <c r="CM552" s="21"/>
      <c r="CQ552" s="21"/>
      <c r="CR552" s="21"/>
      <c r="CS552" s="21"/>
    </row>
    <row r="553" spans="11:97" ht="15.75">
      <c r="K553" s="25"/>
      <c r="M553" s="26"/>
      <c r="N553" s="25"/>
      <c r="P553" s="26"/>
      <c r="Q553" s="25"/>
      <c r="S553" s="26"/>
      <c r="T553" s="25"/>
      <c r="V553" s="26"/>
      <c r="W553" s="25"/>
      <c r="Y553" s="26"/>
      <c r="Z553" s="25"/>
      <c r="AB553" s="26"/>
      <c r="BN553" s="24"/>
      <c r="BO553" s="21"/>
      <c r="BP553" s="21"/>
      <c r="BQ553" s="21"/>
      <c r="BS553" s="22"/>
      <c r="BT553" s="21"/>
      <c r="BU553" s="21"/>
      <c r="CB553" s="21"/>
      <c r="CC553" s="21"/>
      <c r="CD553" s="21"/>
      <c r="CE553" s="21"/>
      <c r="CF553" s="21"/>
      <c r="CI553" s="23"/>
      <c r="CJ553" s="21"/>
      <c r="CK553" s="21"/>
      <c r="CL553" s="21"/>
      <c r="CM553" s="21"/>
      <c r="CQ553" s="21"/>
      <c r="CR553" s="21"/>
      <c r="CS553" s="21"/>
    </row>
    <row r="554" spans="11:97" ht="15.75">
      <c r="K554" s="25"/>
      <c r="M554" s="26"/>
      <c r="N554" s="25"/>
      <c r="P554" s="26"/>
      <c r="Q554" s="25"/>
      <c r="S554" s="26"/>
      <c r="T554" s="25"/>
      <c r="V554" s="26"/>
      <c r="W554" s="25"/>
      <c r="Y554" s="26"/>
      <c r="Z554" s="25"/>
      <c r="AB554" s="26"/>
      <c r="BN554" s="24"/>
      <c r="BO554" s="21"/>
      <c r="BP554" s="21"/>
      <c r="BQ554" s="21"/>
      <c r="BS554" s="22"/>
      <c r="BT554" s="21"/>
      <c r="BU554" s="21"/>
      <c r="CB554" s="21"/>
      <c r="CC554" s="21"/>
      <c r="CD554" s="21"/>
      <c r="CE554" s="21"/>
      <c r="CF554" s="21"/>
      <c r="CI554" s="23"/>
      <c r="CJ554" s="21"/>
      <c r="CK554" s="21"/>
      <c r="CL554" s="21"/>
      <c r="CM554" s="21"/>
      <c r="CQ554" s="21"/>
      <c r="CR554" s="21"/>
      <c r="CS554" s="21"/>
    </row>
    <row r="555" spans="11:97" ht="15.75">
      <c r="K555" s="25"/>
      <c r="M555" s="26"/>
      <c r="N555" s="25"/>
      <c r="P555" s="26"/>
      <c r="Q555" s="25"/>
      <c r="S555" s="26"/>
      <c r="T555" s="25"/>
      <c r="V555" s="26"/>
      <c r="W555" s="25"/>
      <c r="Y555" s="26"/>
      <c r="Z555" s="25"/>
      <c r="AB555" s="26"/>
      <c r="BN555" s="24"/>
      <c r="BO555" s="21"/>
      <c r="BP555" s="21"/>
      <c r="BQ555" s="21"/>
      <c r="BS555" s="22"/>
      <c r="BT555" s="21"/>
      <c r="BU555" s="21"/>
      <c r="CB555" s="21"/>
      <c r="CC555" s="21"/>
      <c r="CD555" s="21"/>
      <c r="CE555" s="21"/>
      <c r="CF555" s="21"/>
      <c r="CI555" s="23"/>
      <c r="CJ555" s="21"/>
      <c r="CK555" s="21"/>
      <c r="CL555" s="21"/>
      <c r="CM555" s="21"/>
      <c r="CQ555" s="21"/>
      <c r="CR555" s="21"/>
      <c r="CS555" s="21"/>
    </row>
    <row r="556" spans="11:97" ht="15.75">
      <c r="K556" s="25"/>
      <c r="M556" s="26"/>
      <c r="N556" s="25"/>
      <c r="P556" s="26"/>
      <c r="Q556" s="25"/>
      <c r="S556" s="26"/>
      <c r="T556" s="25"/>
      <c r="V556" s="26"/>
      <c r="W556" s="25"/>
      <c r="Y556" s="26"/>
      <c r="Z556" s="25"/>
      <c r="AB556" s="26"/>
      <c r="BN556" s="24"/>
      <c r="BO556" s="21"/>
      <c r="BP556" s="21"/>
      <c r="BQ556" s="21"/>
      <c r="BS556" s="22"/>
      <c r="BT556" s="21"/>
      <c r="BU556" s="21"/>
      <c r="CB556" s="21"/>
      <c r="CC556" s="21"/>
      <c r="CD556" s="21"/>
      <c r="CE556" s="21"/>
      <c r="CF556" s="21"/>
      <c r="CI556" s="23"/>
      <c r="CJ556" s="21"/>
      <c r="CK556" s="21"/>
      <c r="CL556" s="21"/>
      <c r="CM556" s="21"/>
      <c r="CQ556" s="21"/>
      <c r="CR556" s="21"/>
      <c r="CS556" s="21"/>
    </row>
    <row r="557" spans="11:97" ht="15.75">
      <c r="K557" s="25"/>
      <c r="M557" s="26"/>
      <c r="N557" s="25"/>
      <c r="P557" s="26"/>
      <c r="Q557" s="25"/>
      <c r="S557" s="26"/>
      <c r="T557" s="25"/>
      <c r="V557" s="26"/>
      <c r="W557" s="25"/>
      <c r="Y557" s="26"/>
      <c r="Z557" s="25"/>
      <c r="AB557" s="26"/>
      <c r="BN557" s="24"/>
      <c r="BO557" s="21"/>
      <c r="BP557" s="21"/>
      <c r="BQ557" s="21"/>
      <c r="BS557" s="22"/>
      <c r="BT557" s="21"/>
      <c r="BU557" s="21"/>
      <c r="CB557" s="21"/>
      <c r="CC557" s="21"/>
      <c r="CD557" s="21"/>
      <c r="CE557" s="21"/>
      <c r="CF557" s="21"/>
      <c r="CI557" s="23"/>
      <c r="CJ557" s="21"/>
      <c r="CK557" s="21"/>
      <c r="CL557" s="21"/>
      <c r="CM557" s="21"/>
      <c r="CQ557" s="21"/>
      <c r="CR557" s="21"/>
      <c r="CS557" s="21"/>
    </row>
    <row r="558" spans="11:97" ht="15.75">
      <c r="K558" s="25"/>
      <c r="M558" s="26"/>
      <c r="N558" s="25"/>
      <c r="P558" s="26"/>
      <c r="Q558" s="25"/>
      <c r="S558" s="26"/>
      <c r="T558" s="25"/>
      <c r="V558" s="26"/>
      <c r="W558" s="25"/>
      <c r="Y558" s="26"/>
      <c r="Z558" s="25"/>
      <c r="AB558" s="26"/>
      <c r="BN558" s="24"/>
      <c r="BO558" s="21"/>
      <c r="BP558" s="21"/>
      <c r="BQ558" s="21"/>
      <c r="BS558" s="22"/>
      <c r="BT558" s="21"/>
      <c r="BU558" s="21"/>
      <c r="CB558" s="21"/>
      <c r="CC558" s="21"/>
      <c r="CD558" s="21"/>
      <c r="CE558" s="21"/>
      <c r="CF558" s="21"/>
      <c r="CI558" s="23"/>
      <c r="CJ558" s="21"/>
      <c r="CK558" s="21"/>
      <c r="CL558" s="21"/>
      <c r="CM558" s="21"/>
      <c r="CQ558" s="21"/>
      <c r="CR558" s="21"/>
      <c r="CS558" s="21"/>
    </row>
    <row r="559" spans="11:97" ht="15.75">
      <c r="K559" s="25"/>
      <c r="M559" s="26"/>
      <c r="N559" s="25"/>
      <c r="P559" s="26"/>
      <c r="Q559" s="25"/>
      <c r="S559" s="26"/>
      <c r="T559" s="25"/>
      <c r="V559" s="26"/>
      <c r="W559" s="25"/>
      <c r="Y559" s="26"/>
      <c r="Z559" s="25"/>
      <c r="AB559" s="26"/>
      <c r="BN559" s="24"/>
      <c r="BO559" s="21"/>
      <c r="BP559" s="21"/>
      <c r="BQ559" s="21"/>
      <c r="BS559" s="22"/>
      <c r="BT559" s="21"/>
      <c r="BU559" s="21"/>
      <c r="CB559" s="21"/>
      <c r="CC559" s="21"/>
      <c r="CD559" s="21"/>
      <c r="CE559" s="21"/>
      <c r="CF559" s="21"/>
      <c r="CI559" s="23"/>
      <c r="CJ559" s="21"/>
      <c r="CK559" s="21"/>
      <c r="CL559" s="21"/>
      <c r="CM559" s="21"/>
      <c r="CQ559" s="21"/>
      <c r="CR559" s="21"/>
      <c r="CS559" s="21"/>
    </row>
    <row r="560" spans="11:97" ht="15.75">
      <c r="K560" s="25"/>
      <c r="M560" s="26"/>
      <c r="N560" s="25"/>
      <c r="P560" s="26"/>
      <c r="Q560" s="25"/>
      <c r="S560" s="26"/>
      <c r="T560" s="25"/>
      <c r="V560" s="26"/>
      <c r="W560" s="25"/>
      <c r="Y560" s="26"/>
      <c r="Z560" s="25"/>
      <c r="AB560" s="26"/>
      <c r="BN560" s="24"/>
      <c r="BO560" s="21"/>
      <c r="BP560" s="21"/>
      <c r="BQ560" s="21"/>
      <c r="BS560" s="22"/>
      <c r="BT560" s="21"/>
      <c r="BU560" s="21"/>
      <c r="CB560" s="21"/>
      <c r="CC560" s="21"/>
      <c r="CD560" s="21"/>
      <c r="CE560" s="21"/>
      <c r="CF560" s="21"/>
      <c r="CI560" s="23"/>
      <c r="CJ560" s="21"/>
      <c r="CK560" s="21"/>
      <c r="CL560" s="21"/>
      <c r="CM560" s="21"/>
      <c r="CQ560" s="21"/>
      <c r="CR560" s="21"/>
      <c r="CS560" s="21"/>
    </row>
    <row r="561" spans="11:97" ht="15.75">
      <c r="K561" s="25"/>
      <c r="M561" s="26"/>
      <c r="N561" s="25"/>
      <c r="P561" s="26"/>
      <c r="Q561" s="25"/>
      <c r="S561" s="26"/>
      <c r="T561" s="25"/>
      <c r="V561" s="26"/>
      <c r="W561" s="25"/>
      <c r="Y561" s="26"/>
      <c r="Z561" s="25"/>
      <c r="AB561" s="26"/>
      <c r="BN561" s="24"/>
      <c r="BO561" s="21"/>
      <c r="BP561" s="21"/>
      <c r="BQ561" s="21"/>
      <c r="BS561" s="22"/>
      <c r="BT561" s="21"/>
      <c r="BU561" s="21"/>
      <c r="CB561" s="21"/>
      <c r="CC561" s="21"/>
      <c r="CD561" s="21"/>
      <c r="CE561" s="21"/>
      <c r="CF561" s="21"/>
      <c r="CI561" s="23"/>
      <c r="CJ561" s="21"/>
      <c r="CK561" s="21"/>
      <c r="CL561" s="21"/>
      <c r="CM561" s="21"/>
      <c r="CQ561" s="21"/>
      <c r="CR561" s="21"/>
      <c r="CS561" s="21"/>
    </row>
    <row r="562" spans="11:97" ht="15.75">
      <c r="K562" s="25"/>
      <c r="M562" s="26"/>
      <c r="N562" s="25"/>
      <c r="P562" s="26"/>
      <c r="Q562" s="25"/>
      <c r="S562" s="26"/>
      <c r="T562" s="25"/>
      <c r="V562" s="26"/>
      <c r="W562" s="25"/>
      <c r="Y562" s="26"/>
      <c r="Z562" s="25"/>
      <c r="AB562" s="26"/>
      <c r="BN562" s="24"/>
      <c r="BO562" s="21"/>
      <c r="BP562" s="21"/>
      <c r="BQ562" s="21"/>
      <c r="BS562" s="22"/>
      <c r="BT562" s="21"/>
      <c r="BU562" s="21"/>
      <c r="CB562" s="21"/>
      <c r="CC562" s="21"/>
      <c r="CD562" s="21"/>
      <c r="CE562" s="21"/>
      <c r="CF562" s="21"/>
      <c r="CI562" s="23"/>
      <c r="CJ562" s="21"/>
      <c r="CK562" s="21"/>
      <c r="CL562" s="21"/>
      <c r="CM562" s="21"/>
      <c r="CQ562" s="21"/>
      <c r="CR562" s="21"/>
      <c r="CS562" s="21"/>
    </row>
    <row r="563" spans="11:97" ht="15.75">
      <c r="K563" s="25"/>
      <c r="M563" s="26"/>
      <c r="N563" s="25"/>
      <c r="P563" s="26"/>
      <c r="Q563" s="25"/>
      <c r="S563" s="26"/>
      <c r="T563" s="25"/>
      <c r="V563" s="26"/>
      <c r="W563" s="25"/>
      <c r="Y563" s="26"/>
      <c r="Z563" s="25"/>
      <c r="AB563" s="26"/>
      <c r="BN563" s="24"/>
      <c r="BO563" s="21"/>
      <c r="BP563" s="21"/>
      <c r="BQ563" s="21"/>
      <c r="BS563" s="22"/>
      <c r="BT563" s="21"/>
      <c r="BU563" s="21"/>
      <c r="CB563" s="21"/>
      <c r="CC563" s="21"/>
      <c r="CD563" s="21"/>
      <c r="CE563" s="21"/>
      <c r="CF563" s="21"/>
      <c r="CI563" s="23"/>
      <c r="CJ563" s="21"/>
      <c r="CK563" s="21"/>
      <c r="CL563" s="21"/>
      <c r="CM563" s="21"/>
      <c r="CQ563" s="21"/>
      <c r="CR563" s="21"/>
      <c r="CS563" s="21"/>
    </row>
    <row r="564" spans="11:97" ht="15.75">
      <c r="K564" s="25"/>
      <c r="M564" s="26"/>
      <c r="N564" s="25"/>
      <c r="P564" s="26"/>
      <c r="Q564" s="25"/>
      <c r="S564" s="26"/>
      <c r="T564" s="25"/>
      <c r="V564" s="26"/>
      <c r="W564" s="25"/>
      <c r="Y564" s="26"/>
      <c r="Z564" s="25"/>
      <c r="AB564" s="26"/>
      <c r="BN564" s="24"/>
      <c r="BO564" s="21"/>
      <c r="BP564" s="21"/>
      <c r="BQ564" s="21"/>
      <c r="BS564" s="22"/>
      <c r="BT564" s="21"/>
      <c r="BU564" s="21"/>
      <c r="CB564" s="21"/>
      <c r="CC564" s="21"/>
      <c r="CD564" s="21"/>
      <c r="CE564" s="21"/>
      <c r="CF564" s="21"/>
      <c r="CI564" s="23"/>
      <c r="CJ564" s="21"/>
      <c r="CK564" s="21"/>
      <c r="CL564" s="21"/>
      <c r="CM564" s="21"/>
      <c r="CQ564" s="21"/>
      <c r="CR564" s="21"/>
      <c r="CS564" s="21"/>
    </row>
    <row r="565" spans="11:97" ht="15.75">
      <c r="K565" s="25"/>
      <c r="M565" s="26"/>
      <c r="N565" s="25"/>
      <c r="P565" s="26"/>
      <c r="Q565" s="25"/>
      <c r="S565" s="26"/>
      <c r="T565" s="25"/>
      <c r="V565" s="26"/>
      <c r="W565" s="25"/>
      <c r="Y565" s="26"/>
      <c r="Z565" s="25"/>
      <c r="AB565" s="26"/>
      <c r="BN565" s="24"/>
      <c r="BO565" s="21"/>
      <c r="BP565" s="21"/>
      <c r="BQ565" s="21"/>
      <c r="BS565" s="22"/>
      <c r="BT565" s="21"/>
      <c r="BU565" s="21"/>
      <c r="CB565" s="21"/>
      <c r="CC565" s="21"/>
      <c r="CD565" s="21"/>
      <c r="CE565" s="21"/>
      <c r="CF565" s="21"/>
      <c r="CI565" s="23"/>
      <c r="CJ565" s="21"/>
      <c r="CK565" s="21"/>
      <c r="CL565" s="21"/>
      <c r="CM565" s="21"/>
      <c r="CQ565" s="21"/>
      <c r="CR565" s="21"/>
      <c r="CS565" s="21"/>
    </row>
    <row r="566" spans="11:97" ht="15.75">
      <c r="K566" s="25"/>
      <c r="M566" s="26"/>
      <c r="N566" s="25"/>
      <c r="P566" s="26"/>
      <c r="Q566" s="25"/>
      <c r="S566" s="26"/>
      <c r="T566" s="25"/>
      <c r="V566" s="26"/>
      <c r="W566" s="25"/>
      <c r="Y566" s="26"/>
      <c r="Z566" s="25"/>
      <c r="AB566" s="26"/>
      <c r="BN566" s="24"/>
      <c r="BO566" s="21"/>
      <c r="BP566" s="21"/>
      <c r="BQ566" s="21"/>
      <c r="BS566" s="22"/>
      <c r="BT566" s="21"/>
      <c r="BU566" s="21"/>
      <c r="CB566" s="21"/>
      <c r="CC566" s="21"/>
      <c r="CD566" s="21"/>
      <c r="CE566" s="21"/>
      <c r="CF566" s="21"/>
      <c r="CI566" s="23"/>
      <c r="CJ566" s="21"/>
      <c r="CK566" s="21"/>
      <c r="CL566" s="21"/>
      <c r="CM566" s="21"/>
      <c r="CQ566" s="21"/>
      <c r="CR566" s="21"/>
      <c r="CS566" s="21"/>
    </row>
    <row r="567" spans="11:97" ht="15.75">
      <c r="K567" s="25"/>
      <c r="M567" s="26"/>
      <c r="N567" s="25"/>
      <c r="P567" s="26"/>
      <c r="Q567" s="25"/>
      <c r="S567" s="26"/>
      <c r="T567" s="25"/>
      <c r="V567" s="26"/>
      <c r="W567" s="25"/>
      <c r="Y567" s="26"/>
      <c r="Z567" s="25"/>
      <c r="AB567" s="26"/>
      <c r="BN567" s="24"/>
      <c r="BO567" s="21"/>
      <c r="BP567" s="21"/>
      <c r="BQ567" s="21"/>
      <c r="BS567" s="22"/>
      <c r="BT567" s="21"/>
      <c r="BU567" s="21"/>
      <c r="CB567" s="21"/>
      <c r="CC567" s="21"/>
      <c r="CD567" s="21"/>
      <c r="CE567" s="21"/>
      <c r="CF567" s="21"/>
      <c r="CI567" s="23"/>
      <c r="CJ567" s="21"/>
      <c r="CK567" s="21"/>
      <c r="CL567" s="21"/>
      <c r="CM567" s="21"/>
      <c r="CQ567" s="21"/>
      <c r="CR567" s="21"/>
      <c r="CS567" s="21"/>
    </row>
    <row r="568" spans="11:97" ht="15.75">
      <c r="K568" s="25"/>
      <c r="M568" s="26"/>
      <c r="N568" s="25"/>
      <c r="P568" s="26"/>
      <c r="Q568" s="25"/>
      <c r="S568" s="26"/>
      <c r="T568" s="25"/>
      <c r="V568" s="26"/>
      <c r="W568" s="25"/>
      <c r="Y568" s="26"/>
      <c r="Z568" s="25"/>
      <c r="AB568" s="26"/>
      <c r="BN568" s="24"/>
      <c r="BO568" s="21"/>
      <c r="BP568" s="21"/>
      <c r="BQ568" s="21"/>
      <c r="BS568" s="22"/>
      <c r="BT568" s="21"/>
      <c r="BU568" s="21"/>
      <c r="CB568" s="21"/>
      <c r="CC568" s="21"/>
      <c r="CD568" s="21"/>
      <c r="CE568" s="21"/>
      <c r="CF568" s="21"/>
      <c r="CI568" s="23"/>
      <c r="CJ568" s="21"/>
      <c r="CK568" s="21"/>
      <c r="CL568" s="21"/>
      <c r="CM568" s="21"/>
      <c r="CQ568" s="21"/>
      <c r="CR568" s="21"/>
      <c r="CS568" s="21"/>
    </row>
    <row r="569" spans="11:97" ht="15.75">
      <c r="K569" s="25"/>
      <c r="M569" s="26"/>
      <c r="N569" s="25"/>
      <c r="P569" s="26"/>
      <c r="Q569" s="25"/>
      <c r="S569" s="26"/>
      <c r="T569" s="25"/>
      <c r="V569" s="26"/>
      <c r="W569" s="25"/>
      <c r="Y569" s="26"/>
      <c r="Z569" s="25"/>
      <c r="AB569" s="26"/>
      <c r="BN569" s="24"/>
      <c r="BO569" s="21"/>
      <c r="BP569" s="21"/>
      <c r="BQ569" s="21"/>
      <c r="BS569" s="22"/>
      <c r="BT569" s="21"/>
      <c r="BU569" s="21"/>
      <c r="CB569" s="21"/>
      <c r="CC569" s="21"/>
      <c r="CD569" s="21"/>
      <c r="CE569" s="21"/>
      <c r="CF569" s="21"/>
      <c r="CI569" s="23"/>
      <c r="CJ569" s="21"/>
      <c r="CK569" s="21"/>
      <c r="CL569" s="21"/>
      <c r="CM569" s="21"/>
      <c r="CQ569" s="21"/>
      <c r="CR569" s="21"/>
      <c r="CS569" s="21"/>
    </row>
    <row r="570" spans="11:97" ht="15.75">
      <c r="K570" s="25"/>
      <c r="M570" s="26"/>
      <c r="N570" s="25"/>
      <c r="P570" s="26"/>
      <c r="Q570" s="25"/>
      <c r="S570" s="26"/>
      <c r="T570" s="25"/>
      <c r="V570" s="26"/>
      <c r="W570" s="25"/>
      <c r="Y570" s="26"/>
      <c r="Z570" s="25"/>
      <c r="AB570" s="26"/>
      <c r="BN570" s="24"/>
      <c r="BO570" s="21"/>
      <c r="BP570" s="21"/>
      <c r="BQ570" s="21"/>
      <c r="BS570" s="22"/>
      <c r="BT570" s="21"/>
      <c r="BU570" s="21"/>
      <c r="CB570" s="21"/>
      <c r="CC570" s="21"/>
      <c r="CD570" s="21"/>
      <c r="CE570" s="21"/>
      <c r="CF570" s="21"/>
      <c r="CI570" s="23"/>
      <c r="CJ570" s="21"/>
      <c r="CK570" s="21"/>
      <c r="CL570" s="21"/>
      <c r="CM570" s="21"/>
      <c r="CQ570" s="21"/>
      <c r="CR570" s="21"/>
      <c r="CS570" s="21"/>
    </row>
    <row r="571" spans="11:97" ht="15.75">
      <c r="K571" s="25"/>
      <c r="M571" s="26"/>
      <c r="N571" s="25"/>
      <c r="P571" s="26"/>
      <c r="Q571" s="25"/>
      <c r="S571" s="26"/>
      <c r="T571" s="25"/>
      <c r="V571" s="26"/>
      <c r="W571" s="25"/>
      <c r="Y571" s="26"/>
      <c r="Z571" s="25"/>
      <c r="AB571" s="26"/>
      <c r="BN571" s="24"/>
      <c r="BO571" s="21"/>
      <c r="BP571" s="21"/>
      <c r="BQ571" s="21"/>
      <c r="BS571" s="22"/>
      <c r="BT571" s="21"/>
      <c r="BU571" s="21"/>
      <c r="CB571" s="21"/>
      <c r="CC571" s="21"/>
      <c r="CD571" s="21"/>
      <c r="CE571" s="21"/>
      <c r="CF571" s="21"/>
      <c r="CI571" s="23"/>
      <c r="CJ571" s="21"/>
      <c r="CK571" s="21"/>
      <c r="CL571" s="21"/>
      <c r="CM571" s="21"/>
      <c r="CQ571" s="21"/>
      <c r="CR571" s="21"/>
      <c r="CS571" s="21"/>
    </row>
    <row r="572" spans="11:97" ht="15.75">
      <c r="K572" s="25"/>
      <c r="M572" s="26"/>
      <c r="N572" s="25"/>
      <c r="P572" s="26"/>
      <c r="Q572" s="25"/>
      <c r="S572" s="26"/>
      <c r="T572" s="25"/>
      <c r="V572" s="26"/>
      <c r="W572" s="25"/>
      <c r="Y572" s="26"/>
      <c r="Z572" s="25"/>
      <c r="AB572" s="26"/>
      <c r="BN572" s="24"/>
      <c r="BO572" s="21"/>
      <c r="BP572" s="21"/>
      <c r="BQ572" s="21"/>
      <c r="BS572" s="22"/>
      <c r="BT572" s="21"/>
      <c r="BU572" s="21"/>
      <c r="CB572" s="21"/>
      <c r="CC572" s="21"/>
      <c r="CD572" s="21"/>
      <c r="CE572" s="21"/>
      <c r="CF572" s="21"/>
      <c r="CI572" s="23"/>
      <c r="CJ572" s="21"/>
      <c r="CK572" s="21"/>
      <c r="CL572" s="21"/>
      <c r="CM572" s="21"/>
      <c r="CQ572" s="21"/>
      <c r="CR572" s="21"/>
      <c r="CS572" s="21"/>
    </row>
    <row r="573" spans="11:97" ht="15.75">
      <c r="K573" s="25"/>
      <c r="M573" s="26"/>
      <c r="N573" s="25"/>
      <c r="P573" s="26"/>
      <c r="Q573" s="25"/>
      <c r="S573" s="26"/>
      <c r="T573" s="25"/>
      <c r="V573" s="26"/>
      <c r="W573" s="25"/>
      <c r="Y573" s="26"/>
      <c r="Z573" s="25"/>
      <c r="AB573" s="26"/>
      <c r="BN573" s="24"/>
      <c r="BO573" s="21"/>
      <c r="BP573" s="21"/>
      <c r="BQ573" s="21"/>
      <c r="BS573" s="22"/>
      <c r="BT573" s="21"/>
      <c r="BU573" s="21"/>
      <c r="CB573" s="21"/>
      <c r="CC573" s="21"/>
      <c r="CD573" s="21"/>
      <c r="CE573" s="21"/>
      <c r="CF573" s="21"/>
      <c r="CI573" s="23"/>
      <c r="CJ573" s="21"/>
      <c r="CK573" s="21"/>
      <c r="CL573" s="21"/>
      <c r="CM573" s="21"/>
      <c r="CQ573" s="21"/>
      <c r="CR573" s="21"/>
      <c r="CS573" s="21"/>
    </row>
    <row r="574" spans="11:97" ht="15.75">
      <c r="K574" s="25"/>
      <c r="M574" s="26"/>
      <c r="N574" s="25"/>
      <c r="P574" s="26"/>
      <c r="Q574" s="25"/>
      <c r="S574" s="26"/>
      <c r="T574" s="25"/>
      <c r="V574" s="26"/>
      <c r="W574" s="25"/>
      <c r="Y574" s="26"/>
      <c r="Z574" s="25"/>
      <c r="AB574" s="26"/>
      <c r="BN574" s="24"/>
      <c r="BO574" s="21"/>
      <c r="BP574" s="21"/>
      <c r="BQ574" s="21"/>
      <c r="BS574" s="22"/>
      <c r="BT574" s="21"/>
      <c r="BU574" s="21"/>
      <c r="CB574" s="21"/>
      <c r="CC574" s="21"/>
      <c r="CD574" s="21"/>
      <c r="CE574" s="21"/>
      <c r="CF574" s="21"/>
      <c r="CI574" s="23"/>
      <c r="CJ574" s="21"/>
      <c r="CK574" s="21"/>
      <c r="CL574" s="21"/>
      <c r="CM574" s="21"/>
      <c r="CQ574" s="21"/>
      <c r="CR574" s="21"/>
      <c r="CS574" s="21"/>
    </row>
    <row r="575" spans="11:97" ht="15.75">
      <c r="K575" s="25"/>
      <c r="M575" s="26"/>
      <c r="N575" s="25"/>
      <c r="P575" s="26"/>
      <c r="Q575" s="25"/>
      <c r="S575" s="26"/>
      <c r="T575" s="25"/>
      <c r="V575" s="26"/>
      <c r="W575" s="25"/>
      <c r="Y575" s="26"/>
      <c r="Z575" s="25"/>
      <c r="AB575" s="26"/>
      <c r="BN575" s="24"/>
      <c r="BO575" s="21"/>
      <c r="BP575" s="21"/>
      <c r="BQ575" s="21"/>
      <c r="BS575" s="22"/>
      <c r="BT575" s="21"/>
      <c r="BU575" s="21"/>
      <c r="CB575" s="21"/>
      <c r="CC575" s="21"/>
      <c r="CD575" s="21"/>
      <c r="CE575" s="21"/>
      <c r="CF575" s="21"/>
      <c r="CI575" s="23"/>
      <c r="CJ575" s="21"/>
      <c r="CK575" s="21"/>
      <c r="CL575" s="21"/>
      <c r="CM575" s="21"/>
      <c r="CQ575" s="21"/>
      <c r="CR575" s="21"/>
      <c r="CS575" s="21"/>
    </row>
    <row r="576" spans="11:97" ht="15.75">
      <c r="K576" s="25"/>
      <c r="M576" s="26"/>
      <c r="N576" s="25"/>
      <c r="P576" s="26"/>
      <c r="Q576" s="25"/>
      <c r="S576" s="26"/>
      <c r="T576" s="25"/>
      <c r="V576" s="26"/>
      <c r="W576" s="25"/>
      <c r="Y576" s="26"/>
      <c r="Z576" s="25"/>
      <c r="AB576" s="26"/>
      <c r="BN576" s="24"/>
      <c r="BO576" s="21"/>
      <c r="BP576" s="21"/>
      <c r="BQ576" s="21"/>
      <c r="BS576" s="22"/>
      <c r="BT576" s="21"/>
      <c r="BU576" s="21"/>
      <c r="CB576" s="21"/>
      <c r="CC576" s="21"/>
      <c r="CD576" s="21"/>
      <c r="CE576" s="21"/>
      <c r="CF576" s="21"/>
      <c r="CI576" s="23"/>
      <c r="CJ576" s="21"/>
      <c r="CK576" s="21"/>
      <c r="CL576" s="21"/>
      <c r="CM576" s="21"/>
      <c r="CQ576" s="21"/>
      <c r="CR576" s="21"/>
      <c r="CS576" s="21"/>
    </row>
    <row r="577" spans="11:97" ht="15.75">
      <c r="K577" s="25"/>
      <c r="M577" s="26"/>
      <c r="N577" s="25"/>
      <c r="P577" s="26"/>
      <c r="Q577" s="25"/>
      <c r="S577" s="26"/>
      <c r="T577" s="25"/>
      <c r="V577" s="26"/>
      <c r="W577" s="25"/>
      <c r="Y577" s="26"/>
      <c r="Z577" s="25"/>
      <c r="AB577" s="26"/>
      <c r="BN577" s="24"/>
      <c r="BO577" s="21"/>
      <c r="BP577" s="21"/>
      <c r="BQ577" s="21"/>
      <c r="BS577" s="22"/>
      <c r="BT577" s="21"/>
      <c r="BU577" s="21"/>
      <c r="CB577" s="21"/>
      <c r="CC577" s="21"/>
      <c r="CD577" s="21"/>
      <c r="CE577" s="21"/>
      <c r="CF577" s="21"/>
      <c r="CI577" s="23"/>
      <c r="CJ577" s="21"/>
      <c r="CK577" s="21"/>
      <c r="CL577" s="21"/>
      <c r="CM577" s="21"/>
      <c r="CQ577" s="21"/>
      <c r="CR577" s="21"/>
      <c r="CS577" s="21"/>
    </row>
    <row r="578" spans="11:97" ht="15.75">
      <c r="K578" s="25"/>
      <c r="M578" s="26"/>
      <c r="N578" s="25"/>
      <c r="P578" s="26"/>
      <c r="Q578" s="25"/>
      <c r="S578" s="26"/>
      <c r="T578" s="25"/>
      <c r="V578" s="26"/>
      <c r="W578" s="25"/>
      <c r="Y578" s="26"/>
      <c r="Z578" s="25"/>
      <c r="AB578" s="26"/>
      <c r="BN578" s="24"/>
      <c r="BO578" s="21"/>
      <c r="BP578" s="21"/>
      <c r="BQ578" s="21"/>
      <c r="BS578" s="22"/>
      <c r="BT578" s="21"/>
      <c r="BU578" s="21"/>
      <c r="CB578" s="21"/>
      <c r="CC578" s="21"/>
      <c r="CD578" s="21"/>
      <c r="CE578" s="21"/>
      <c r="CF578" s="21"/>
      <c r="CI578" s="23"/>
      <c r="CJ578" s="21"/>
      <c r="CK578" s="21"/>
      <c r="CL578" s="21"/>
      <c r="CM578" s="21"/>
      <c r="CQ578" s="21"/>
      <c r="CR578" s="21"/>
      <c r="CS578" s="21"/>
    </row>
    <row r="579" spans="11:97" ht="15.75">
      <c r="K579" s="25"/>
      <c r="M579" s="26"/>
      <c r="N579" s="25"/>
      <c r="P579" s="26"/>
      <c r="Q579" s="25"/>
      <c r="S579" s="26"/>
      <c r="T579" s="25"/>
      <c r="V579" s="26"/>
      <c r="W579" s="25"/>
      <c r="Y579" s="26"/>
      <c r="Z579" s="25"/>
      <c r="AB579" s="26"/>
      <c r="BN579" s="24"/>
      <c r="BO579" s="21"/>
      <c r="BP579" s="21"/>
      <c r="BQ579" s="21"/>
      <c r="BS579" s="22"/>
      <c r="BT579" s="21"/>
      <c r="BU579" s="21"/>
      <c r="CB579" s="21"/>
      <c r="CC579" s="21"/>
      <c r="CD579" s="21"/>
      <c r="CE579" s="21"/>
      <c r="CF579" s="21"/>
      <c r="CI579" s="23"/>
      <c r="CJ579" s="21"/>
      <c r="CK579" s="21"/>
      <c r="CL579" s="21"/>
      <c r="CM579" s="21"/>
      <c r="CQ579" s="21"/>
      <c r="CR579" s="21"/>
      <c r="CS579" s="21"/>
    </row>
    <row r="580" spans="11:97" ht="15.75">
      <c r="K580" s="25"/>
      <c r="M580" s="26"/>
      <c r="N580" s="25"/>
      <c r="P580" s="26"/>
      <c r="Q580" s="25"/>
      <c r="S580" s="26"/>
      <c r="T580" s="25"/>
      <c r="V580" s="26"/>
      <c r="W580" s="25"/>
      <c r="Y580" s="26"/>
      <c r="Z580" s="25"/>
      <c r="AB580" s="26"/>
      <c r="BN580" s="24"/>
      <c r="BO580" s="21"/>
      <c r="BP580" s="21"/>
      <c r="BQ580" s="21"/>
      <c r="BS580" s="22"/>
      <c r="BT580" s="21"/>
      <c r="BU580" s="21"/>
      <c r="CB580" s="21"/>
      <c r="CC580" s="21"/>
      <c r="CD580" s="21"/>
      <c r="CE580" s="21"/>
      <c r="CF580" s="21"/>
      <c r="CI580" s="23"/>
      <c r="CJ580" s="21"/>
      <c r="CK580" s="21"/>
      <c r="CL580" s="21"/>
      <c r="CM580" s="21"/>
      <c r="CQ580" s="21"/>
      <c r="CR580" s="21"/>
      <c r="CS580" s="21"/>
    </row>
    <row r="581" spans="11:97" ht="15.75">
      <c r="K581" s="25"/>
      <c r="M581" s="26"/>
      <c r="N581" s="25"/>
      <c r="P581" s="26"/>
      <c r="Q581" s="25"/>
      <c r="S581" s="26"/>
      <c r="T581" s="25"/>
      <c r="V581" s="26"/>
      <c r="W581" s="25"/>
      <c r="Y581" s="26"/>
      <c r="Z581" s="25"/>
      <c r="AB581" s="26"/>
      <c r="BN581" s="24"/>
      <c r="BO581" s="21"/>
      <c r="BP581" s="21"/>
      <c r="BQ581" s="21"/>
      <c r="BS581" s="22"/>
      <c r="BT581" s="21"/>
      <c r="BU581" s="21"/>
      <c r="CB581" s="21"/>
      <c r="CC581" s="21"/>
      <c r="CD581" s="21"/>
      <c r="CE581" s="21"/>
      <c r="CF581" s="21"/>
      <c r="CI581" s="23"/>
      <c r="CJ581" s="21"/>
      <c r="CK581" s="21"/>
      <c r="CL581" s="21"/>
      <c r="CM581" s="21"/>
      <c r="CQ581" s="21"/>
      <c r="CR581" s="21"/>
      <c r="CS581" s="21"/>
    </row>
    <row r="582" spans="11:97" ht="15.75">
      <c r="K582" s="25"/>
      <c r="M582" s="26"/>
      <c r="N582" s="25"/>
      <c r="P582" s="26"/>
      <c r="Q582" s="25"/>
      <c r="S582" s="26"/>
      <c r="T582" s="25"/>
      <c r="V582" s="26"/>
      <c r="W582" s="25"/>
      <c r="Y582" s="26"/>
      <c r="Z582" s="25"/>
      <c r="AB582" s="26"/>
      <c r="BN582" s="24"/>
      <c r="BO582" s="21"/>
      <c r="BP582" s="21"/>
      <c r="BQ582" s="21"/>
      <c r="BS582" s="22"/>
      <c r="BT582" s="21"/>
      <c r="BU582" s="21"/>
      <c r="CB582" s="21"/>
      <c r="CC582" s="21"/>
      <c r="CD582" s="21"/>
      <c r="CE582" s="21"/>
      <c r="CF582" s="21"/>
      <c r="CI582" s="23"/>
      <c r="CJ582" s="21"/>
      <c r="CK582" s="21"/>
      <c r="CL582" s="21"/>
      <c r="CM582" s="21"/>
      <c r="CQ582" s="21"/>
      <c r="CR582" s="21"/>
      <c r="CS582" s="21"/>
    </row>
    <row r="583" spans="11:97" ht="15.75">
      <c r="K583" s="25"/>
      <c r="M583" s="26"/>
      <c r="N583" s="25"/>
      <c r="P583" s="26"/>
      <c r="Q583" s="25"/>
      <c r="S583" s="26"/>
      <c r="T583" s="25"/>
      <c r="V583" s="26"/>
      <c r="W583" s="25"/>
      <c r="Y583" s="26"/>
      <c r="Z583" s="25"/>
      <c r="AB583" s="26"/>
      <c r="BN583" s="24"/>
      <c r="BO583" s="21"/>
      <c r="BP583" s="21"/>
      <c r="BQ583" s="21"/>
      <c r="BS583" s="22"/>
      <c r="BT583" s="21"/>
      <c r="BU583" s="21"/>
      <c r="CB583" s="21"/>
      <c r="CC583" s="21"/>
      <c r="CD583" s="21"/>
      <c r="CE583" s="21"/>
      <c r="CF583" s="21"/>
      <c r="CI583" s="23"/>
      <c r="CJ583" s="21"/>
      <c r="CK583" s="21"/>
      <c r="CL583" s="21"/>
      <c r="CM583" s="21"/>
      <c r="CQ583" s="21"/>
      <c r="CR583" s="21"/>
      <c r="CS583" s="21"/>
    </row>
    <row r="584" spans="11:97" ht="15.75">
      <c r="K584" s="25"/>
      <c r="M584" s="26"/>
      <c r="N584" s="25"/>
      <c r="P584" s="26"/>
      <c r="Q584" s="25"/>
      <c r="S584" s="26"/>
      <c r="T584" s="25"/>
      <c r="V584" s="26"/>
      <c r="W584" s="25"/>
      <c r="Y584" s="26"/>
      <c r="Z584" s="25"/>
      <c r="AB584" s="26"/>
      <c r="BN584" s="24"/>
      <c r="BO584" s="21"/>
      <c r="BP584" s="21"/>
      <c r="BQ584" s="21"/>
      <c r="BS584" s="22"/>
      <c r="BT584" s="21"/>
      <c r="BU584" s="21"/>
      <c r="CB584" s="21"/>
      <c r="CC584" s="21"/>
      <c r="CD584" s="21"/>
      <c r="CE584" s="21"/>
      <c r="CF584" s="21"/>
      <c r="CI584" s="23"/>
      <c r="CJ584" s="21"/>
      <c r="CK584" s="21"/>
      <c r="CL584" s="21"/>
      <c r="CM584" s="21"/>
      <c r="CQ584" s="21"/>
      <c r="CR584" s="21"/>
      <c r="CS584" s="21"/>
    </row>
    <row r="585" spans="11:97" ht="15.75">
      <c r="K585" s="25"/>
      <c r="M585" s="26"/>
      <c r="N585" s="25"/>
      <c r="P585" s="26"/>
      <c r="Q585" s="25"/>
      <c r="S585" s="26"/>
      <c r="T585" s="25"/>
      <c r="V585" s="26"/>
      <c r="W585" s="25"/>
      <c r="Y585" s="26"/>
      <c r="Z585" s="25"/>
      <c r="AB585" s="26"/>
      <c r="BN585" s="24"/>
      <c r="BO585" s="21"/>
      <c r="BP585" s="21"/>
      <c r="BQ585" s="21"/>
      <c r="BS585" s="22"/>
      <c r="BT585" s="21"/>
      <c r="BU585" s="21"/>
      <c r="CB585" s="21"/>
      <c r="CC585" s="21"/>
      <c r="CD585" s="21"/>
      <c r="CE585" s="21"/>
      <c r="CF585" s="21"/>
      <c r="CI585" s="23"/>
      <c r="CJ585" s="21"/>
      <c r="CK585" s="21"/>
      <c r="CL585" s="21"/>
      <c r="CM585" s="21"/>
      <c r="CQ585" s="21"/>
      <c r="CR585" s="21"/>
      <c r="CS585" s="21"/>
    </row>
    <row r="586" spans="11:97" ht="15.75">
      <c r="K586" s="25"/>
      <c r="M586" s="26"/>
      <c r="N586" s="25"/>
      <c r="P586" s="26"/>
      <c r="Q586" s="25"/>
      <c r="S586" s="26"/>
      <c r="T586" s="25"/>
      <c r="V586" s="26"/>
      <c r="W586" s="25"/>
      <c r="Y586" s="26"/>
      <c r="Z586" s="25"/>
      <c r="AB586" s="26"/>
      <c r="BN586" s="24"/>
      <c r="BO586" s="21"/>
      <c r="BP586" s="21"/>
      <c r="BQ586" s="21"/>
      <c r="BS586" s="22"/>
      <c r="BT586" s="21"/>
      <c r="BU586" s="21"/>
      <c r="CB586" s="21"/>
      <c r="CC586" s="21"/>
      <c r="CD586" s="21"/>
      <c r="CE586" s="21"/>
      <c r="CF586" s="21"/>
      <c r="CI586" s="23"/>
      <c r="CJ586" s="21"/>
      <c r="CK586" s="21"/>
      <c r="CL586" s="21"/>
      <c r="CM586" s="21"/>
      <c r="CQ586" s="21"/>
      <c r="CR586" s="21"/>
      <c r="CS586" s="21"/>
    </row>
    <row r="587" spans="11:97" ht="15.75">
      <c r="K587" s="25"/>
      <c r="M587" s="26"/>
      <c r="N587" s="25"/>
      <c r="P587" s="26"/>
      <c r="Q587" s="25"/>
      <c r="S587" s="26"/>
      <c r="T587" s="25"/>
      <c r="V587" s="26"/>
      <c r="W587" s="25"/>
      <c r="Y587" s="26"/>
      <c r="Z587" s="25"/>
      <c r="AB587" s="26"/>
      <c r="BN587" s="24"/>
      <c r="BO587" s="21"/>
      <c r="BP587" s="21"/>
      <c r="BQ587" s="21"/>
      <c r="BS587" s="22"/>
      <c r="BT587" s="21"/>
      <c r="BU587" s="21"/>
      <c r="CB587" s="21"/>
      <c r="CC587" s="21"/>
      <c r="CD587" s="21"/>
      <c r="CE587" s="21"/>
      <c r="CF587" s="21"/>
      <c r="CI587" s="23"/>
      <c r="CJ587" s="21"/>
      <c r="CK587" s="21"/>
      <c r="CL587" s="21"/>
      <c r="CM587" s="21"/>
      <c r="CQ587" s="21"/>
      <c r="CR587" s="21"/>
      <c r="CS587" s="21"/>
    </row>
    <row r="588" spans="11:97" ht="15.75">
      <c r="K588" s="25"/>
      <c r="M588" s="26"/>
      <c r="N588" s="25"/>
      <c r="P588" s="26"/>
      <c r="Q588" s="25"/>
      <c r="S588" s="26"/>
      <c r="T588" s="25"/>
      <c r="V588" s="26"/>
      <c r="W588" s="25"/>
      <c r="Y588" s="26"/>
      <c r="Z588" s="25"/>
      <c r="AB588" s="26"/>
      <c r="BN588" s="24"/>
      <c r="BO588" s="21"/>
      <c r="BP588" s="21"/>
      <c r="BQ588" s="21"/>
      <c r="BS588" s="22"/>
      <c r="BT588" s="21"/>
      <c r="BU588" s="21"/>
      <c r="CB588" s="21"/>
      <c r="CC588" s="21"/>
      <c r="CD588" s="21"/>
      <c r="CE588" s="21"/>
      <c r="CF588" s="21"/>
      <c r="CI588" s="23"/>
      <c r="CJ588" s="21"/>
      <c r="CK588" s="21"/>
      <c r="CL588" s="21"/>
      <c r="CM588" s="21"/>
      <c r="CQ588" s="21"/>
      <c r="CR588" s="21"/>
      <c r="CS588" s="21"/>
    </row>
    <row r="589" spans="11:97" ht="15.75">
      <c r="K589" s="25"/>
      <c r="M589" s="26"/>
      <c r="N589" s="25"/>
      <c r="P589" s="26"/>
      <c r="Q589" s="25"/>
      <c r="S589" s="26"/>
      <c r="T589" s="25"/>
      <c r="V589" s="26"/>
      <c r="W589" s="25"/>
      <c r="Y589" s="26"/>
      <c r="Z589" s="25"/>
      <c r="AB589" s="26"/>
      <c r="BN589" s="24"/>
      <c r="BO589" s="21"/>
      <c r="BP589" s="21"/>
      <c r="BQ589" s="21"/>
      <c r="BS589" s="22"/>
      <c r="BT589" s="21"/>
      <c r="BU589" s="21"/>
      <c r="CB589" s="21"/>
      <c r="CC589" s="21"/>
      <c r="CD589" s="21"/>
      <c r="CE589" s="21"/>
      <c r="CF589" s="21"/>
      <c r="CI589" s="23"/>
      <c r="CJ589" s="21"/>
      <c r="CK589" s="21"/>
      <c r="CL589" s="21"/>
      <c r="CM589" s="21"/>
      <c r="CQ589" s="21"/>
      <c r="CR589" s="21"/>
      <c r="CS589" s="21"/>
    </row>
    <row r="590" spans="11:97" ht="15.75">
      <c r="K590" s="25"/>
      <c r="M590" s="26"/>
      <c r="N590" s="25"/>
      <c r="P590" s="26"/>
      <c r="Q590" s="25"/>
      <c r="S590" s="26"/>
      <c r="T590" s="25"/>
      <c r="V590" s="26"/>
      <c r="W590" s="25"/>
      <c r="Y590" s="26"/>
      <c r="Z590" s="25"/>
      <c r="AB590" s="26"/>
      <c r="BN590" s="24"/>
      <c r="BO590" s="21"/>
      <c r="BP590" s="21"/>
      <c r="BQ590" s="21"/>
      <c r="BS590" s="22"/>
      <c r="BT590" s="21"/>
      <c r="BU590" s="21"/>
      <c r="CB590" s="21"/>
      <c r="CC590" s="21"/>
      <c r="CD590" s="21"/>
      <c r="CE590" s="21"/>
      <c r="CF590" s="21"/>
      <c r="CI590" s="23"/>
      <c r="CJ590" s="21"/>
      <c r="CK590" s="21"/>
      <c r="CL590" s="21"/>
      <c r="CM590" s="21"/>
      <c r="CQ590" s="21"/>
      <c r="CR590" s="21"/>
      <c r="CS590" s="21"/>
    </row>
    <row r="591" spans="11:97" ht="15.75">
      <c r="K591" s="25"/>
      <c r="M591" s="26"/>
      <c r="N591" s="25"/>
      <c r="P591" s="26"/>
      <c r="Q591" s="25"/>
      <c r="S591" s="26"/>
      <c r="T591" s="25"/>
      <c r="V591" s="26"/>
      <c r="W591" s="25"/>
      <c r="Y591" s="26"/>
      <c r="Z591" s="25"/>
      <c r="AB591" s="26"/>
      <c r="BN591" s="24"/>
      <c r="BO591" s="21"/>
      <c r="BP591" s="21"/>
      <c r="BQ591" s="21"/>
      <c r="BS591" s="22"/>
      <c r="BT591" s="21"/>
      <c r="BU591" s="21"/>
      <c r="CB591" s="21"/>
      <c r="CC591" s="21"/>
      <c r="CD591" s="21"/>
      <c r="CE591" s="21"/>
      <c r="CF591" s="21"/>
      <c r="CI591" s="23"/>
      <c r="CJ591" s="21"/>
      <c r="CK591" s="21"/>
      <c r="CL591" s="21"/>
      <c r="CM591" s="21"/>
      <c r="CQ591" s="21"/>
      <c r="CR591" s="21"/>
      <c r="CS591" s="21"/>
    </row>
    <row r="592" spans="11:97" ht="15.75">
      <c r="K592" s="25"/>
      <c r="M592" s="26"/>
      <c r="N592" s="25"/>
      <c r="P592" s="26"/>
      <c r="Q592" s="25"/>
      <c r="S592" s="26"/>
      <c r="T592" s="25"/>
      <c r="V592" s="26"/>
      <c r="W592" s="25"/>
      <c r="Y592" s="26"/>
      <c r="Z592" s="25"/>
      <c r="AB592" s="26"/>
      <c r="BN592" s="24"/>
      <c r="BO592" s="21"/>
      <c r="BP592" s="21"/>
      <c r="BQ592" s="21"/>
      <c r="BS592" s="22"/>
      <c r="BT592" s="21"/>
      <c r="BU592" s="21"/>
      <c r="CB592" s="21"/>
      <c r="CC592" s="21"/>
      <c r="CD592" s="21"/>
      <c r="CE592" s="21"/>
      <c r="CF592" s="21"/>
      <c r="CI592" s="23"/>
      <c r="CJ592" s="21"/>
      <c r="CK592" s="21"/>
      <c r="CL592" s="21"/>
      <c r="CM592" s="21"/>
      <c r="CQ592" s="21"/>
      <c r="CR592" s="21"/>
      <c r="CS592" s="21"/>
    </row>
    <row r="593" spans="11:97" ht="15.75">
      <c r="K593" s="25"/>
      <c r="M593" s="26"/>
      <c r="N593" s="25"/>
      <c r="P593" s="26"/>
      <c r="Q593" s="25"/>
      <c r="S593" s="26"/>
      <c r="T593" s="25"/>
      <c r="V593" s="26"/>
      <c r="W593" s="25"/>
      <c r="Y593" s="26"/>
      <c r="Z593" s="25"/>
      <c r="AB593" s="26"/>
      <c r="BN593" s="24"/>
      <c r="BO593" s="21"/>
      <c r="BP593" s="21"/>
      <c r="BQ593" s="21"/>
      <c r="BS593" s="22"/>
      <c r="BT593" s="21"/>
      <c r="BU593" s="21"/>
      <c r="CB593" s="21"/>
      <c r="CC593" s="21"/>
      <c r="CD593" s="21"/>
      <c r="CE593" s="21"/>
      <c r="CF593" s="21"/>
      <c r="CI593" s="23"/>
      <c r="CJ593" s="21"/>
      <c r="CK593" s="21"/>
      <c r="CL593" s="21"/>
      <c r="CM593" s="21"/>
      <c r="CQ593" s="21"/>
      <c r="CR593" s="21"/>
      <c r="CS593" s="21"/>
    </row>
    <row r="594" spans="11:97" ht="15.75">
      <c r="K594" s="25"/>
      <c r="M594" s="26"/>
      <c r="N594" s="25"/>
      <c r="P594" s="26"/>
      <c r="Q594" s="25"/>
      <c r="S594" s="26"/>
      <c r="T594" s="25"/>
      <c r="V594" s="26"/>
      <c r="W594" s="25"/>
      <c r="Y594" s="26"/>
      <c r="Z594" s="25"/>
      <c r="AB594" s="26"/>
      <c r="BN594" s="24"/>
      <c r="BO594" s="21"/>
      <c r="BP594" s="21"/>
      <c r="BQ594" s="21"/>
      <c r="BS594" s="22"/>
      <c r="BT594" s="21"/>
      <c r="BU594" s="21"/>
      <c r="CB594" s="21"/>
      <c r="CC594" s="21"/>
      <c r="CD594" s="21"/>
      <c r="CE594" s="21"/>
      <c r="CF594" s="21"/>
      <c r="CI594" s="23"/>
      <c r="CJ594" s="21"/>
      <c r="CK594" s="21"/>
      <c r="CL594" s="21"/>
      <c r="CM594" s="21"/>
      <c r="CQ594" s="21"/>
      <c r="CR594" s="21"/>
      <c r="CS594" s="21"/>
    </row>
    <row r="595" spans="11:97" ht="15.75">
      <c r="K595" s="25"/>
      <c r="M595" s="26"/>
      <c r="N595" s="25"/>
      <c r="P595" s="26"/>
      <c r="Q595" s="25"/>
      <c r="S595" s="26"/>
      <c r="T595" s="25"/>
      <c r="V595" s="26"/>
      <c r="W595" s="25"/>
      <c r="Y595" s="26"/>
      <c r="Z595" s="25"/>
      <c r="AB595" s="26"/>
      <c r="BN595" s="24"/>
      <c r="BO595" s="21"/>
      <c r="BP595" s="21"/>
      <c r="BQ595" s="21"/>
      <c r="BS595" s="22"/>
      <c r="BT595" s="21"/>
      <c r="BU595" s="21"/>
      <c r="CB595" s="21"/>
      <c r="CC595" s="21"/>
      <c r="CD595" s="21"/>
      <c r="CE595" s="21"/>
      <c r="CF595" s="21"/>
      <c r="CI595" s="23"/>
      <c r="CJ595" s="21"/>
      <c r="CK595" s="21"/>
      <c r="CL595" s="21"/>
      <c r="CM595" s="21"/>
      <c r="CQ595" s="21"/>
      <c r="CR595" s="21"/>
      <c r="CS595" s="21"/>
    </row>
    <row r="596" spans="11:97" ht="15.75">
      <c r="K596" s="25"/>
      <c r="M596" s="26"/>
      <c r="N596" s="25"/>
      <c r="P596" s="26"/>
      <c r="Q596" s="25"/>
      <c r="S596" s="26"/>
      <c r="T596" s="25"/>
      <c r="V596" s="26"/>
      <c r="W596" s="25"/>
      <c r="Y596" s="26"/>
      <c r="Z596" s="25"/>
      <c r="AB596" s="26"/>
      <c r="BN596" s="24"/>
      <c r="BO596" s="21"/>
      <c r="BP596" s="21"/>
      <c r="BQ596" s="21"/>
      <c r="BS596" s="22"/>
      <c r="BT596" s="21"/>
      <c r="BU596" s="21"/>
      <c r="CB596" s="21"/>
      <c r="CC596" s="21"/>
      <c r="CD596" s="21"/>
      <c r="CE596" s="21"/>
      <c r="CF596" s="21"/>
      <c r="CI596" s="23"/>
      <c r="CJ596" s="21"/>
      <c r="CK596" s="21"/>
      <c r="CL596" s="21"/>
      <c r="CM596" s="21"/>
      <c r="CQ596" s="21"/>
      <c r="CR596" s="21"/>
      <c r="CS596" s="21"/>
    </row>
    <row r="597" spans="11:97" ht="15.75">
      <c r="K597" s="25"/>
      <c r="M597" s="26"/>
      <c r="N597" s="25"/>
      <c r="P597" s="26"/>
      <c r="Q597" s="25"/>
      <c r="S597" s="26"/>
      <c r="T597" s="25"/>
      <c r="V597" s="26"/>
      <c r="W597" s="25"/>
      <c r="Y597" s="26"/>
      <c r="Z597" s="25"/>
      <c r="AB597" s="26"/>
      <c r="BN597" s="24"/>
      <c r="BO597" s="21"/>
      <c r="BP597" s="21"/>
      <c r="BQ597" s="21"/>
      <c r="BS597" s="22"/>
      <c r="BT597" s="21"/>
      <c r="BU597" s="21"/>
      <c r="CB597" s="21"/>
      <c r="CC597" s="21"/>
      <c r="CD597" s="21"/>
      <c r="CE597" s="21"/>
      <c r="CF597" s="21"/>
      <c r="CI597" s="23"/>
      <c r="CJ597" s="21"/>
      <c r="CK597" s="21"/>
      <c r="CL597" s="21"/>
      <c r="CM597" s="21"/>
      <c r="CQ597" s="21"/>
      <c r="CR597" s="21"/>
      <c r="CS597" s="21"/>
    </row>
    <row r="598" spans="11:97" ht="15.75">
      <c r="K598" s="25"/>
      <c r="M598" s="26"/>
      <c r="N598" s="25"/>
      <c r="P598" s="26"/>
      <c r="Q598" s="25"/>
      <c r="S598" s="26"/>
      <c r="T598" s="25"/>
      <c r="V598" s="26"/>
      <c r="W598" s="25"/>
      <c r="Y598" s="26"/>
      <c r="Z598" s="25"/>
      <c r="AB598" s="26"/>
      <c r="BN598" s="24"/>
      <c r="BO598" s="21"/>
      <c r="BP598" s="21"/>
      <c r="BQ598" s="21"/>
      <c r="BS598" s="22"/>
      <c r="BT598" s="21"/>
      <c r="BU598" s="21"/>
      <c r="CB598" s="21"/>
      <c r="CC598" s="21"/>
      <c r="CD598" s="21"/>
      <c r="CE598" s="21"/>
      <c r="CF598" s="21"/>
      <c r="CI598" s="23"/>
      <c r="CJ598" s="21"/>
      <c r="CK598" s="21"/>
      <c r="CL598" s="21"/>
      <c r="CM598" s="21"/>
      <c r="CQ598" s="21"/>
      <c r="CR598" s="21"/>
      <c r="CS598" s="21"/>
    </row>
    <row r="599" spans="11:97" ht="15.75">
      <c r="K599" s="25"/>
      <c r="M599" s="26"/>
      <c r="N599" s="25"/>
      <c r="P599" s="26"/>
      <c r="Q599" s="25"/>
      <c r="S599" s="26"/>
      <c r="T599" s="25"/>
      <c r="V599" s="26"/>
      <c r="W599" s="25"/>
      <c r="Y599" s="26"/>
      <c r="Z599" s="25"/>
      <c r="AB599" s="26"/>
      <c r="BN599" s="24"/>
      <c r="BO599" s="21"/>
      <c r="BP599" s="21"/>
      <c r="BQ599" s="21"/>
      <c r="BS599" s="22"/>
      <c r="BT599" s="21"/>
      <c r="BU599" s="21"/>
      <c r="CB599" s="21"/>
      <c r="CC599" s="21"/>
      <c r="CD599" s="21"/>
      <c r="CE599" s="21"/>
      <c r="CF599" s="21"/>
      <c r="CI599" s="23"/>
      <c r="CJ599" s="21"/>
      <c r="CK599" s="21"/>
      <c r="CL599" s="21"/>
      <c r="CM599" s="21"/>
      <c r="CQ599" s="21"/>
      <c r="CR599" s="21"/>
      <c r="CS599" s="21"/>
    </row>
    <row r="600" spans="11:97" ht="15.75">
      <c r="K600" s="25"/>
      <c r="M600" s="26"/>
      <c r="N600" s="25"/>
      <c r="P600" s="26"/>
      <c r="Q600" s="25"/>
      <c r="S600" s="26"/>
      <c r="T600" s="25"/>
      <c r="V600" s="26"/>
      <c r="W600" s="25"/>
      <c r="Y600" s="26"/>
      <c r="Z600" s="25"/>
      <c r="AB600" s="26"/>
      <c r="BN600" s="24"/>
      <c r="BO600" s="21"/>
      <c r="BP600" s="21"/>
      <c r="BQ600" s="21"/>
      <c r="BS600" s="22"/>
      <c r="BT600" s="21"/>
      <c r="BU600" s="21"/>
      <c r="CB600" s="21"/>
      <c r="CC600" s="21"/>
      <c r="CD600" s="21"/>
      <c r="CE600" s="21"/>
      <c r="CF600" s="21"/>
      <c r="CI600" s="23"/>
      <c r="CJ600" s="21"/>
      <c r="CK600" s="21"/>
      <c r="CL600" s="21"/>
      <c r="CM600" s="21"/>
      <c r="CQ600" s="21"/>
      <c r="CR600" s="21"/>
      <c r="CS600" s="21"/>
    </row>
    <row r="601" spans="11:97" ht="15.75">
      <c r="K601" s="25"/>
      <c r="M601" s="26"/>
      <c r="N601" s="25"/>
      <c r="P601" s="26"/>
      <c r="Q601" s="25"/>
      <c r="S601" s="26"/>
      <c r="T601" s="25"/>
      <c r="V601" s="26"/>
      <c r="W601" s="25"/>
      <c r="Y601" s="26"/>
      <c r="Z601" s="25"/>
      <c r="AB601" s="26"/>
      <c r="BN601" s="24"/>
      <c r="BO601" s="21"/>
      <c r="BP601" s="21"/>
      <c r="BQ601" s="21"/>
      <c r="BS601" s="22"/>
      <c r="BT601" s="21"/>
      <c r="BU601" s="21"/>
      <c r="CB601" s="21"/>
      <c r="CC601" s="21"/>
      <c r="CD601" s="21"/>
      <c r="CE601" s="21"/>
      <c r="CF601" s="21"/>
      <c r="CI601" s="23"/>
      <c r="CJ601" s="21"/>
      <c r="CK601" s="21"/>
      <c r="CL601" s="21"/>
      <c r="CM601" s="21"/>
      <c r="CQ601" s="21"/>
      <c r="CR601" s="21"/>
      <c r="CS601" s="21"/>
    </row>
    <row r="602" spans="11:97" ht="15.75">
      <c r="K602" s="25"/>
      <c r="M602" s="26"/>
      <c r="N602" s="25"/>
      <c r="P602" s="26"/>
      <c r="Q602" s="25"/>
      <c r="S602" s="26"/>
      <c r="T602" s="25"/>
      <c r="V602" s="26"/>
      <c r="W602" s="25"/>
      <c r="Y602" s="26"/>
      <c r="Z602" s="25"/>
      <c r="AB602" s="26"/>
      <c r="BN602" s="24"/>
      <c r="BO602" s="21"/>
      <c r="BP602" s="21"/>
      <c r="BQ602" s="21"/>
      <c r="BS602" s="22"/>
      <c r="BT602" s="21"/>
      <c r="BU602" s="21"/>
      <c r="CB602" s="21"/>
      <c r="CC602" s="21"/>
      <c r="CD602" s="21"/>
      <c r="CE602" s="21"/>
      <c r="CF602" s="21"/>
      <c r="CI602" s="23"/>
      <c r="CJ602" s="21"/>
      <c r="CK602" s="21"/>
      <c r="CL602" s="21"/>
      <c r="CM602" s="21"/>
      <c r="CQ602" s="21"/>
      <c r="CR602" s="21"/>
      <c r="CS602" s="21"/>
    </row>
    <row r="603" spans="11:97" ht="15.75">
      <c r="K603" s="25"/>
      <c r="M603" s="26"/>
      <c r="N603" s="25"/>
      <c r="P603" s="26"/>
      <c r="Q603" s="25"/>
      <c r="S603" s="26"/>
      <c r="T603" s="25"/>
      <c r="V603" s="26"/>
      <c r="W603" s="25"/>
      <c r="Y603" s="26"/>
      <c r="Z603" s="25"/>
      <c r="AB603" s="26"/>
      <c r="BN603" s="24"/>
      <c r="BO603" s="21"/>
      <c r="BP603" s="21"/>
      <c r="BQ603" s="21"/>
      <c r="BS603" s="22"/>
      <c r="BT603" s="21"/>
      <c r="BU603" s="21"/>
      <c r="CB603" s="21"/>
      <c r="CC603" s="21"/>
      <c r="CD603" s="21"/>
      <c r="CE603" s="21"/>
      <c r="CF603" s="21"/>
      <c r="CI603" s="23"/>
      <c r="CJ603" s="21"/>
      <c r="CK603" s="21"/>
      <c r="CL603" s="21"/>
      <c r="CM603" s="21"/>
      <c r="CQ603" s="21"/>
      <c r="CR603" s="21"/>
      <c r="CS603" s="21"/>
    </row>
    <row r="604" spans="11:97" ht="15.75">
      <c r="K604" s="25"/>
      <c r="M604" s="26"/>
      <c r="N604" s="25"/>
      <c r="P604" s="26"/>
      <c r="Q604" s="25"/>
      <c r="S604" s="26"/>
      <c r="T604" s="25"/>
      <c r="V604" s="26"/>
      <c r="W604" s="25"/>
      <c r="Y604" s="26"/>
      <c r="Z604" s="25"/>
      <c r="AB604" s="26"/>
      <c r="BN604" s="24"/>
      <c r="BO604" s="21"/>
      <c r="BP604" s="21"/>
      <c r="BQ604" s="21"/>
      <c r="BS604" s="22"/>
      <c r="BT604" s="21"/>
      <c r="BU604" s="21"/>
      <c r="CB604" s="21"/>
      <c r="CC604" s="21"/>
      <c r="CD604" s="21"/>
      <c r="CE604" s="21"/>
      <c r="CF604" s="21"/>
      <c r="CI604" s="23"/>
      <c r="CJ604" s="21"/>
      <c r="CK604" s="21"/>
      <c r="CL604" s="21"/>
      <c r="CM604" s="21"/>
      <c r="CQ604" s="21"/>
      <c r="CR604" s="21"/>
      <c r="CS604" s="21"/>
    </row>
    <row r="605" spans="11:97" ht="15.75">
      <c r="K605" s="25"/>
      <c r="M605" s="26"/>
      <c r="N605" s="25"/>
      <c r="P605" s="26"/>
      <c r="Q605" s="25"/>
      <c r="S605" s="26"/>
      <c r="T605" s="25"/>
      <c r="V605" s="26"/>
      <c r="W605" s="25"/>
      <c r="Y605" s="26"/>
      <c r="Z605" s="25"/>
      <c r="AB605" s="26"/>
      <c r="BN605" s="24"/>
      <c r="BO605" s="21"/>
      <c r="BP605" s="21"/>
      <c r="BQ605" s="21"/>
      <c r="BS605" s="22"/>
      <c r="BT605" s="21"/>
      <c r="BU605" s="21"/>
      <c r="CB605" s="21"/>
      <c r="CC605" s="21"/>
      <c r="CD605" s="21"/>
      <c r="CE605" s="21"/>
      <c r="CF605" s="21"/>
      <c r="CI605" s="23"/>
      <c r="CJ605" s="21"/>
      <c r="CK605" s="21"/>
      <c r="CL605" s="21"/>
      <c r="CM605" s="21"/>
      <c r="CQ605" s="21"/>
      <c r="CR605" s="21"/>
      <c r="CS605" s="21"/>
    </row>
    <row r="606" spans="11:97" ht="15.75">
      <c r="K606" s="25"/>
      <c r="M606" s="26"/>
      <c r="N606" s="25"/>
      <c r="P606" s="26"/>
      <c r="Q606" s="25"/>
      <c r="S606" s="26"/>
      <c r="T606" s="25"/>
      <c r="V606" s="26"/>
      <c r="W606" s="25"/>
      <c r="Y606" s="26"/>
      <c r="Z606" s="25"/>
      <c r="AB606" s="26"/>
      <c r="BN606" s="24"/>
      <c r="BO606" s="21"/>
      <c r="BP606" s="21"/>
      <c r="BQ606" s="21"/>
      <c r="BS606" s="22"/>
      <c r="BT606" s="21"/>
      <c r="BU606" s="21"/>
      <c r="CB606" s="21"/>
      <c r="CC606" s="21"/>
      <c r="CD606" s="21"/>
      <c r="CE606" s="21"/>
      <c r="CF606" s="21"/>
      <c r="CI606" s="23"/>
      <c r="CJ606" s="21"/>
      <c r="CK606" s="21"/>
      <c r="CL606" s="21"/>
      <c r="CM606" s="21"/>
      <c r="CQ606" s="21"/>
      <c r="CR606" s="21"/>
      <c r="CS606" s="21"/>
    </row>
    <row r="607" spans="11:97" ht="15.75">
      <c r="K607" s="25"/>
      <c r="M607" s="26"/>
      <c r="N607" s="25"/>
      <c r="P607" s="26"/>
      <c r="Q607" s="25"/>
      <c r="S607" s="26"/>
      <c r="T607" s="25"/>
      <c r="V607" s="26"/>
      <c r="W607" s="25"/>
      <c r="Y607" s="26"/>
      <c r="Z607" s="25"/>
      <c r="AB607" s="26"/>
      <c r="BN607" s="24"/>
      <c r="BO607" s="21"/>
      <c r="BP607" s="21"/>
      <c r="BQ607" s="21"/>
      <c r="BS607" s="22"/>
      <c r="BT607" s="21"/>
      <c r="BU607" s="21"/>
      <c r="CB607" s="21"/>
      <c r="CC607" s="21"/>
      <c r="CD607" s="21"/>
      <c r="CE607" s="21"/>
      <c r="CF607" s="21"/>
      <c r="CI607" s="23"/>
      <c r="CJ607" s="21"/>
      <c r="CK607" s="21"/>
      <c r="CL607" s="21"/>
      <c r="CM607" s="21"/>
      <c r="CQ607" s="21"/>
      <c r="CR607" s="21"/>
      <c r="CS607" s="21"/>
    </row>
    <row r="608" spans="11:97" ht="15.75">
      <c r="K608" s="25"/>
      <c r="M608" s="26"/>
      <c r="N608" s="25"/>
      <c r="P608" s="26"/>
      <c r="Q608" s="25"/>
      <c r="S608" s="26"/>
      <c r="T608" s="25"/>
      <c r="V608" s="26"/>
      <c r="W608" s="25"/>
      <c r="Y608" s="26"/>
      <c r="Z608" s="25"/>
      <c r="AB608" s="26"/>
      <c r="BN608" s="24"/>
      <c r="BO608" s="21"/>
      <c r="BP608" s="21"/>
      <c r="BQ608" s="21"/>
      <c r="BS608" s="22"/>
      <c r="BT608" s="21"/>
      <c r="BU608" s="21"/>
      <c r="CB608" s="21"/>
      <c r="CC608" s="21"/>
      <c r="CD608" s="21"/>
      <c r="CE608" s="21"/>
      <c r="CF608" s="21"/>
      <c r="CI608" s="23"/>
      <c r="CJ608" s="21"/>
      <c r="CK608" s="21"/>
      <c r="CL608" s="21"/>
      <c r="CM608" s="21"/>
      <c r="CQ608" s="21"/>
      <c r="CR608" s="21"/>
      <c r="CS608" s="21"/>
    </row>
    <row r="609" spans="11:97" ht="15.75">
      <c r="K609" s="25"/>
      <c r="M609" s="26"/>
      <c r="N609" s="25"/>
      <c r="P609" s="26"/>
      <c r="Q609" s="25"/>
      <c r="S609" s="26"/>
      <c r="T609" s="25"/>
      <c r="V609" s="26"/>
      <c r="W609" s="25"/>
      <c r="Y609" s="26"/>
      <c r="Z609" s="25"/>
      <c r="AB609" s="26"/>
      <c r="BN609" s="24"/>
      <c r="BO609" s="21"/>
      <c r="BP609" s="21"/>
      <c r="BQ609" s="21"/>
      <c r="BS609" s="22"/>
      <c r="BT609" s="21"/>
      <c r="BU609" s="21"/>
      <c r="CB609" s="21"/>
      <c r="CC609" s="21"/>
      <c r="CD609" s="21"/>
      <c r="CE609" s="21"/>
      <c r="CF609" s="21"/>
      <c r="CI609" s="23"/>
      <c r="CJ609" s="21"/>
      <c r="CK609" s="21"/>
      <c r="CL609" s="21"/>
      <c r="CM609" s="21"/>
      <c r="CQ609" s="21"/>
      <c r="CR609" s="21"/>
      <c r="CS609" s="21"/>
    </row>
    <row r="610" spans="11:97" ht="15.75">
      <c r="K610" s="25"/>
      <c r="M610" s="26"/>
      <c r="N610" s="25"/>
      <c r="P610" s="26"/>
      <c r="Q610" s="25"/>
      <c r="S610" s="26"/>
      <c r="T610" s="25"/>
      <c r="V610" s="26"/>
      <c r="W610" s="25"/>
      <c r="Y610" s="26"/>
      <c r="Z610" s="25"/>
      <c r="AB610" s="26"/>
      <c r="BN610" s="24"/>
      <c r="BO610" s="21"/>
      <c r="BP610" s="21"/>
      <c r="BQ610" s="21"/>
      <c r="BS610" s="22"/>
      <c r="BT610" s="21"/>
      <c r="BU610" s="21"/>
      <c r="CB610" s="21"/>
      <c r="CC610" s="21"/>
      <c r="CD610" s="21"/>
      <c r="CE610" s="21"/>
      <c r="CF610" s="21"/>
      <c r="CI610" s="23"/>
      <c r="CJ610" s="21"/>
      <c r="CK610" s="21"/>
      <c r="CL610" s="21"/>
      <c r="CM610" s="21"/>
      <c r="CQ610" s="21"/>
      <c r="CR610" s="21"/>
      <c r="CS610" s="21"/>
    </row>
    <row r="611" spans="11:97" ht="15.75">
      <c r="K611" s="25"/>
      <c r="M611" s="26"/>
      <c r="N611" s="25"/>
      <c r="P611" s="26"/>
      <c r="Q611" s="25"/>
      <c r="S611" s="26"/>
      <c r="T611" s="25"/>
      <c r="V611" s="26"/>
      <c r="W611" s="25"/>
      <c r="Y611" s="26"/>
      <c r="Z611" s="25"/>
      <c r="AB611" s="26"/>
      <c r="BN611" s="24"/>
      <c r="BO611" s="21"/>
      <c r="BP611" s="21"/>
      <c r="BQ611" s="21"/>
      <c r="BS611" s="22"/>
      <c r="BT611" s="21"/>
      <c r="BU611" s="21"/>
      <c r="CB611" s="21"/>
      <c r="CC611" s="21"/>
      <c r="CD611" s="21"/>
      <c r="CE611" s="21"/>
      <c r="CF611" s="21"/>
      <c r="CI611" s="23"/>
      <c r="CJ611" s="21"/>
      <c r="CK611" s="21"/>
      <c r="CL611" s="21"/>
      <c r="CM611" s="21"/>
      <c r="CQ611" s="21"/>
      <c r="CR611" s="21"/>
      <c r="CS611" s="21"/>
    </row>
    <row r="612" spans="11:97" ht="15.75">
      <c r="K612" s="25"/>
      <c r="M612" s="26"/>
      <c r="N612" s="25"/>
      <c r="P612" s="26"/>
      <c r="Q612" s="25"/>
      <c r="S612" s="26"/>
      <c r="T612" s="25"/>
      <c r="V612" s="26"/>
      <c r="W612" s="25"/>
      <c r="Y612" s="26"/>
      <c r="Z612" s="25"/>
      <c r="AB612" s="26"/>
      <c r="BN612" s="24"/>
      <c r="BO612" s="21"/>
      <c r="BP612" s="21"/>
      <c r="BQ612" s="21"/>
      <c r="BS612" s="22"/>
      <c r="BT612" s="21"/>
      <c r="BU612" s="21"/>
      <c r="CB612" s="21"/>
      <c r="CC612" s="21"/>
      <c r="CD612" s="21"/>
      <c r="CE612" s="21"/>
      <c r="CF612" s="21"/>
      <c r="CI612" s="23"/>
      <c r="CJ612" s="21"/>
      <c r="CK612" s="21"/>
      <c r="CL612" s="21"/>
      <c r="CM612" s="21"/>
      <c r="CQ612" s="21"/>
      <c r="CR612" s="21"/>
      <c r="CS612" s="21"/>
    </row>
    <row r="613" spans="11:97" ht="15.75">
      <c r="K613" s="25"/>
      <c r="M613" s="26"/>
      <c r="N613" s="25"/>
      <c r="P613" s="26"/>
      <c r="Q613" s="25"/>
      <c r="S613" s="26"/>
      <c r="T613" s="25"/>
      <c r="V613" s="26"/>
      <c r="W613" s="25"/>
      <c r="Y613" s="26"/>
      <c r="Z613" s="25"/>
      <c r="AB613" s="26"/>
      <c r="BN613" s="24"/>
      <c r="BO613" s="21"/>
      <c r="BP613" s="21"/>
      <c r="BQ613" s="21"/>
      <c r="BS613" s="22"/>
      <c r="BT613" s="21"/>
      <c r="BU613" s="21"/>
      <c r="CB613" s="21"/>
      <c r="CC613" s="21"/>
      <c r="CD613" s="21"/>
      <c r="CE613" s="21"/>
      <c r="CF613" s="21"/>
      <c r="CI613" s="23"/>
      <c r="CJ613" s="21"/>
      <c r="CK613" s="21"/>
      <c r="CL613" s="21"/>
      <c r="CM613" s="21"/>
      <c r="CQ613" s="21"/>
      <c r="CR613" s="21"/>
      <c r="CS613" s="21"/>
    </row>
    <row r="614" spans="11:97" ht="15.75">
      <c r="K614" s="25"/>
      <c r="M614" s="26"/>
      <c r="N614" s="25"/>
      <c r="P614" s="26"/>
      <c r="Q614" s="25"/>
      <c r="S614" s="26"/>
      <c r="T614" s="25"/>
      <c r="V614" s="26"/>
      <c r="W614" s="25"/>
      <c r="Y614" s="26"/>
      <c r="Z614" s="25"/>
      <c r="AB614" s="26"/>
      <c r="BN614" s="24"/>
      <c r="BO614" s="21"/>
      <c r="BP614" s="21"/>
      <c r="BQ614" s="21"/>
      <c r="BS614" s="22"/>
      <c r="BT614" s="21"/>
      <c r="BU614" s="21"/>
      <c r="CB614" s="21"/>
      <c r="CC614" s="21"/>
      <c r="CD614" s="21"/>
      <c r="CE614" s="21"/>
      <c r="CF614" s="21"/>
      <c r="CI614" s="23"/>
      <c r="CJ614" s="21"/>
      <c r="CK614" s="21"/>
      <c r="CL614" s="21"/>
      <c r="CM614" s="21"/>
      <c r="CQ614" s="21"/>
      <c r="CR614" s="21"/>
      <c r="CS614" s="21"/>
    </row>
    <row r="615" spans="11:97" ht="15.75">
      <c r="K615" s="25"/>
      <c r="M615" s="26"/>
      <c r="N615" s="25"/>
      <c r="P615" s="26"/>
      <c r="Q615" s="25"/>
      <c r="S615" s="26"/>
      <c r="T615" s="25"/>
      <c r="V615" s="26"/>
      <c r="W615" s="25"/>
      <c r="Y615" s="26"/>
      <c r="Z615" s="25"/>
      <c r="AB615" s="26"/>
      <c r="BN615" s="24"/>
      <c r="BO615" s="21"/>
      <c r="BP615" s="21"/>
      <c r="BQ615" s="21"/>
      <c r="BS615" s="22"/>
      <c r="BT615" s="21"/>
      <c r="BU615" s="21"/>
      <c r="CB615" s="21"/>
      <c r="CC615" s="21"/>
      <c r="CD615" s="21"/>
      <c r="CE615" s="21"/>
      <c r="CF615" s="21"/>
      <c r="CI615" s="23"/>
      <c r="CJ615" s="21"/>
      <c r="CK615" s="21"/>
      <c r="CL615" s="21"/>
      <c r="CM615" s="21"/>
      <c r="CQ615" s="21"/>
      <c r="CR615" s="21"/>
      <c r="CS615" s="21"/>
    </row>
    <row r="616" spans="11:97" ht="15.75">
      <c r="K616" s="25"/>
      <c r="M616" s="26"/>
      <c r="N616" s="25"/>
      <c r="P616" s="26"/>
      <c r="Q616" s="25"/>
      <c r="S616" s="26"/>
      <c r="T616" s="25"/>
      <c r="V616" s="26"/>
      <c r="W616" s="25"/>
      <c r="Y616" s="26"/>
      <c r="Z616" s="25"/>
      <c r="AB616" s="26"/>
      <c r="BN616" s="24"/>
      <c r="BO616" s="21"/>
      <c r="BP616" s="21"/>
      <c r="BQ616" s="21"/>
      <c r="BS616" s="22"/>
      <c r="BT616" s="21"/>
      <c r="BU616" s="21"/>
      <c r="CB616" s="21"/>
      <c r="CC616" s="21"/>
      <c r="CD616" s="21"/>
      <c r="CE616" s="21"/>
      <c r="CF616" s="21"/>
      <c r="CI616" s="23"/>
      <c r="CJ616" s="21"/>
      <c r="CK616" s="21"/>
      <c r="CL616" s="21"/>
      <c r="CM616" s="21"/>
      <c r="CQ616" s="21"/>
      <c r="CR616" s="21"/>
      <c r="CS616" s="21"/>
    </row>
    <row r="617" spans="11:97" ht="15.75">
      <c r="K617" s="25"/>
      <c r="M617" s="26"/>
      <c r="N617" s="25"/>
      <c r="P617" s="26"/>
      <c r="Q617" s="25"/>
      <c r="S617" s="26"/>
      <c r="T617" s="25"/>
      <c r="V617" s="26"/>
      <c r="W617" s="25"/>
      <c r="Y617" s="26"/>
      <c r="Z617" s="25"/>
      <c r="AB617" s="26"/>
      <c r="BN617" s="24"/>
      <c r="BO617" s="21"/>
      <c r="BP617" s="21"/>
      <c r="BQ617" s="21"/>
      <c r="BS617" s="22"/>
      <c r="BT617" s="21"/>
      <c r="BU617" s="21"/>
      <c r="CB617" s="21"/>
      <c r="CC617" s="21"/>
      <c r="CD617" s="21"/>
      <c r="CE617" s="21"/>
      <c r="CF617" s="21"/>
      <c r="CI617" s="23"/>
      <c r="CJ617" s="21"/>
      <c r="CK617" s="21"/>
      <c r="CL617" s="21"/>
      <c r="CM617" s="21"/>
      <c r="CQ617" s="21"/>
      <c r="CR617" s="21"/>
      <c r="CS617" s="21"/>
    </row>
    <row r="618" spans="11:97" ht="15.75">
      <c r="K618" s="25"/>
      <c r="M618" s="26"/>
      <c r="N618" s="25"/>
      <c r="P618" s="26"/>
      <c r="Q618" s="25"/>
      <c r="S618" s="26"/>
      <c r="T618" s="25"/>
      <c r="V618" s="26"/>
      <c r="W618" s="25"/>
      <c r="Y618" s="26"/>
      <c r="Z618" s="25"/>
      <c r="AB618" s="26"/>
      <c r="BN618" s="24"/>
      <c r="BO618" s="21"/>
      <c r="BP618" s="21"/>
      <c r="BQ618" s="21"/>
      <c r="BS618" s="22"/>
      <c r="BT618" s="21"/>
      <c r="BU618" s="21"/>
      <c r="CB618" s="21"/>
      <c r="CC618" s="21"/>
      <c r="CD618" s="21"/>
      <c r="CE618" s="21"/>
      <c r="CF618" s="21"/>
      <c r="CI618" s="23"/>
      <c r="CJ618" s="21"/>
      <c r="CK618" s="21"/>
      <c r="CL618" s="21"/>
      <c r="CM618" s="21"/>
      <c r="CQ618" s="21"/>
      <c r="CR618" s="21"/>
      <c r="CS618" s="21"/>
    </row>
    <row r="619" spans="11:97" ht="15.75">
      <c r="K619" s="25"/>
      <c r="M619" s="26"/>
      <c r="N619" s="25"/>
      <c r="P619" s="26"/>
      <c r="Q619" s="25"/>
      <c r="S619" s="26"/>
      <c r="T619" s="25"/>
      <c r="V619" s="26"/>
      <c r="W619" s="25"/>
      <c r="Y619" s="26"/>
      <c r="Z619" s="25"/>
      <c r="AB619" s="26"/>
      <c r="BN619" s="24"/>
      <c r="BO619" s="21"/>
      <c r="BP619" s="21"/>
      <c r="BQ619" s="21"/>
      <c r="BS619" s="22"/>
      <c r="BT619" s="21"/>
      <c r="BU619" s="21"/>
      <c r="CB619" s="21"/>
      <c r="CC619" s="21"/>
      <c r="CD619" s="21"/>
      <c r="CE619" s="21"/>
      <c r="CF619" s="21"/>
      <c r="CI619" s="23"/>
      <c r="CJ619" s="21"/>
      <c r="CK619" s="21"/>
      <c r="CL619" s="21"/>
      <c r="CM619" s="21"/>
      <c r="CQ619" s="21"/>
      <c r="CR619" s="21"/>
      <c r="CS619" s="21"/>
    </row>
    <row r="620" spans="11:97" ht="15.75">
      <c r="K620" s="25"/>
      <c r="M620" s="26"/>
      <c r="N620" s="25"/>
      <c r="P620" s="26"/>
      <c r="Q620" s="25"/>
      <c r="S620" s="26"/>
      <c r="T620" s="25"/>
      <c r="V620" s="26"/>
      <c r="W620" s="25"/>
      <c r="Y620" s="26"/>
      <c r="Z620" s="25"/>
      <c r="AB620" s="26"/>
      <c r="BN620" s="24"/>
      <c r="BO620" s="21"/>
      <c r="BP620" s="21"/>
      <c r="BQ620" s="21"/>
      <c r="BS620" s="22"/>
      <c r="BT620" s="21"/>
      <c r="BU620" s="21"/>
      <c r="CB620" s="21"/>
      <c r="CC620" s="21"/>
      <c r="CD620" s="21"/>
      <c r="CE620" s="21"/>
      <c r="CF620" s="21"/>
      <c r="CI620" s="23"/>
      <c r="CJ620" s="21"/>
      <c r="CK620" s="21"/>
      <c r="CL620" s="21"/>
      <c r="CM620" s="21"/>
      <c r="CQ620" s="21"/>
      <c r="CR620" s="21"/>
      <c r="CS620" s="21"/>
    </row>
    <row r="621" spans="11:97" ht="15.75">
      <c r="K621" s="25"/>
      <c r="M621" s="26"/>
      <c r="N621" s="25"/>
      <c r="P621" s="26"/>
      <c r="Q621" s="25"/>
      <c r="S621" s="26"/>
      <c r="T621" s="25"/>
      <c r="V621" s="26"/>
      <c r="W621" s="25"/>
      <c r="Y621" s="26"/>
      <c r="Z621" s="25"/>
      <c r="AB621" s="26"/>
      <c r="BN621" s="24"/>
      <c r="BO621" s="21"/>
      <c r="BP621" s="21"/>
      <c r="BQ621" s="21"/>
      <c r="BS621" s="22"/>
      <c r="BT621" s="21"/>
      <c r="BU621" s="21"/>
      <c r="CB621" s="21"/>
      <c r="CC621" s="21"/>
      <c r="CD621" s="21"/>
      <c r="CE621" s="21"/>
      <c r="CF621" s="21"/>
      <c r="CI621" s="23"/>
      <c r="CJ621" s="21"/>
      <c r="CK621" s="21"/>
      <c r="CL621" s="21"/>
      <c r="CM621" s="21"/>
      <c r="CQ621" s="21"/>
      <c r="CR621" s="21"/>
      <c r="CS621" s="21"/>
    </row>
    <row r="622" spans="11:97" ht="15.75">
      <c r="K622" s="25"/>
      <c r="M622" s="26"/>
      <c r="N622" s="25"/>
      <c r="P622" s="26"/>
      <c r="Q622" s="25"/>
      <c r="S622" s="26"/>
      <c r="T622" s="25"/>
      <c r="V622" s="26"/>
      <c r="W622" s="25"/>
      <c r="Y622" s="26"/>
      <c r="Z622" s="25"/>
      <c r="AB622" s="26"/>
      <c r="BN622" s="24"/>
      <c r="BO622" s="21"/>
      <c r="BP622" s="21"/>
      <c r="BQ622" s="21"/>
      <c r="BS622" s="22"/>
      <c r="BT622" s="21"/>
      <c r="BU622" s="21"/>
      <c r="CB622" s="21"/>
      <c r="CC622" s="21"/>
      <c r="CD622" s="21"/>
      <c r="CE622" s="21"/>
      <c r="CF622" s="21"/>
      <c r="CI622" s="23"/>
      <c r="CJ622" s="21"/>
      <c r="CK622" s="21"/>
      <c r="CL622" s="21"/>
      <c r="CM622" s="21"/>
      <c r="CQ622" s="21"/>
      <c r="CR622" s="21"/>
      <c r="CS622" s="21"/>
    </row>
    <row r="623" spans="11:97" ht="15.75">
      <c r="K623" s="25"/>
      <c r="M623" s="26"/>
      <c r="N623" s="25"/>
      <c r="P623" s="26"/>
      <c r="Q623" s="25"/>
      <c r="S623" s="26"/>
      <c r="T623" s="25"/>
      <c r="V623" s="26"/>
      <c r="W623" s="25"/>
      <c r="Y623" s="26"/>
      <c r="Z623" s="25"/>
      <c r="AB623" s="26"/>
      <c r="BN623" s="24"/>
      <c r="BO623" s="21"/>
      <c r="BP623" s="21"/>
      <c r="BQ623" s="21"/>
      <c r="BS623" s="22"/>
      <c r="BT623" s="21"/>
      <c r="BU623" s="21"/>
      <c r="CB623" s="21"/>
      <c r="CC623" s="21"/>
      <c r="CD623" s="21"/>
      <c r="CE623" s="21"/>
      <c r="CF623" s="21"/>
      <c r="CI623" s="23"/>
      <c r="CJ623" s="21"/>
      <c r="CK623" s="21"/>
      <c r="CL623" s="21"/>
      <c r="CM623" s="21"/>
      <c r="CQ623" s="21"/>
      <c r="CR623" s="21"/>
      <c r="CS623" s="21"/>
    </row>
    <row r="624" spans="11:97" ht="15.75">
      <c r="K624" s="25"/>
      <c r="M624" s="26"/>
      <c r="N624" s="25"/>
      <c r="P624" s="26"/>
      <c r="Q624" s="25"/>
      <c r="S624" s="26"/>
      <c r="T624" s="25"/>
      <c r="V624" s="26"/>
      <c r="W624" s="25"/>
      <c r="Y624" s="26"/>
      <c r="Z624" s="25"/>
      <c r="AB624" s="26"/>
      <c r="BN624" s="24"/>
      <c r="BO624" s="21"/>
      <c r="BP624" s="21"/>
      <c r="BQ624" s="21"/>
      <c r="BS624" s="22"/>
      <c r="BT624" s="21"/>
      <c r="BU624" s="21"/>
      <c r="CB624" s="21"/>
      <c r="CC624" s="21"/>
      <c r="CD624" s="21"/>
      <c r="CE624" s="21"/>
      <c r="CF624" s="21"/>
      <c r="CI624" s="23"/>
      <c r="CJ624" s="21"/>
      <c r="CK624" s="21"/>
      <c r="CL624" s="21"/>
      <c r="CM624" s="21"/>
      <c r="CQ624" s="21"/>
      <c r="CR624" s="21"/>
      <c r="CS624" s="21"/>
    </row>
    <row r="625" spans="11:97" ht="15.75">
      <c r="K625" s="25"/>
      <c r="M625" s="26"/>
      <c r="N625" s="25"/>
      <c r="P625" s="26"/>
      <c r="Q625" s="25"/>
      <c r="S625" s="26"/>
      <c r="T625" s="25"/>
      <c r="V625" s="26"/>
      <c r="W625" s="25"/>
      <c r="Y625" s="26"/>
      <c r="Z625" s="25"/>
      <c r="AB625" s="26"/>
      <c r="BN625" s="24"/>
      <c r="BO625" s="21"/>
      <c r="BP625" s="21"/>
      <c r="BQ625" s="21"/>
      <c r="BS625" s="22"/>
      <c r="BT625" s="21"/>
      <c r="BU625" s="21"/>
      <c r="CB625" s="21"/>
      <c r="CC625" s="21"/>
      <c r="CD625" s="21"/>
      <c r="CE625" s="21"/>
      <c r="CF625" s="21"/>
      <c r="CI625" s="23"/>
      <c r="CJ625" s="21"/>
      <c r="CK625" s="21"/>
      <c r="CL625" s="21"/>
      <c r="CM625" s="21"/>
      <c r="CQ625" s="21"/>
      <c r="CR625" s="21"/>
      <c r="CS625" s="21"/>
    </row>
    <row r="626" spans="11:97" ht="15.75">
      <c r="K626" s="25"/>
      <c r="M626" s="26"/>
      <c r="N626" s="25"/>
      <c r="P626" s="26"/>
      <c r="Q626" s="25"/>
      <c r="S626" s="26"/>
      <c r="T626" s="25"/>
      <c r="V626" s="26"/>
      <c r="W626" s="25"/>
      <c r="Y626" s="26"/>
      <c r="Z626" s="25"/>
      <c r="AB626" s="26"/>
      <c r="BN626" s="24"/>
      <c r="BO626" s="21"/>
      <c r="BP626" s="21"/>
      <c r="BQ626" s="21"/>
      <c r="BS626" s="22"/>
      <c r="BT626" s="21"/>
      <c r="BU626" s="21"/>
      <c r="CB626" s="21"/>
      <c r="CC626" s="21"/>
      <c r="CD626" s="21"/>
      <c r="CE626" s="21"/>
      <c r="CF626" s="21"/>
      <c r="CI626" s="23"/>
      <c r="CJ626" s="21"/>
      <c r="CK626" s="21"/>
      <c r="CL626" s="21"/>
      <c r="CM626" s="21"/>
      <c r="CQ626" s="21"/>
      <c r="CR626" s="21"/>
      <c r="CS626" s="21"/>
    </row>
    <row r="627" spans="11:97" ht="15.75">
      <c r="K627" s="25"/>
      <c r="M627" s="26"/>
      <c r="N627" s="25"/>
      <c r="P627" s="26"/>
      <c r="Q627" s="25"/>
      <c r="S627" s="26"/>
      <c r="T627" s="25"/>
      <c r="V627" s="26"/>
      <c r="W627" s="25"/>
      <c r="Y627" s="26"/>
      <c r="Z627" s="25"/>
      <c r="AB627" s="26"/>
      <c r="BN627" s="24"/>
      <c r="BO627" s="21"/>
      <c r="BP627" s="21"/>
      <c r="BQ627" s="21"/>
      <c r="BS627" s="22"/>
      <c r="BT627" s="21"/>
      <c r="BU627" s="21"/>
      <c r="CB627" s="21"/>
      <c r="CC627" s="21"/>
      <c r="CD627" s="21"/>
      <c r="CE627" s="21"/>
      <c r="CF627" s="21"/>
      <c r="CI627" s="23"/>
      <c r="CJ627" s="21"/>
      <c r="CK627" s="21"/>
      <c r="CL627" s="21"/>
      <c r="CM627" s="21"/>
      <c r="CQ627" s="21"/>
      <c r="CR627" s="21"/>
      <c r="CS627" s="21"/>
    </row>
    <row r="628" spans="11:97" ht="15.75">
      <c r="K628" s="25"/>
      <c r="M628" s="26"/>
      <c r="N628" s="25"/>
      <c r="P628" s="26"/>
      <c r="Q628" s="25"/>
      <c r="S628" s="26"/>
      <c r="T628" s="25"/>
      <c r="V628" s="26"/>
      <c r="W628" s="25"/>
      <c r="Y628" s="26"/>
      <c r="Z628" s="25"/>
      <c r="AB628" s="26"/>
      <c r="BN628" s="24"/>
      <c r="BO628" s="21"/>
      <c r="BP628" s="21"/>
      <c r="BQ628" s="21"/>
      <c r="BS628" s="22"/>
      <c r="BT628" s="21"/>
      <c r="BU628" s="21"/>
      <c r="CB628" s="21"/>
      <c r="CC628" s="21"/>
      <c r="CD628" s="21"/>
      <c r="CE628" s="21"/>
      <c r="CF628" s="21"/>
      <c r="CI628" s="23"/>
      <c r="CJ628" s="21"/>
      <c r="CK628" s="21"/>
      <c r="CL628" s="21"/>
      <c r="CM628" s="21"/>
      <c r="CQ628" s="21"/>
      <c r="CR628" s="21"/>
      <c r="CS628" s="21"/>
    </row>
    <row r="629" spans="11:97" ht="15.75">
      <c r="K629" s="25"/>
      <c r="M629" s="26"/>
      <c r="N629" s="25"/>
      <c r="P629" s="26"/>
      <c r="Q629" s="25"/>
      <c r="S629" s="26"/>
      <c r="T629" s="25"/>
      <c r="V629" s="26"/>
      <c r="W629" s="25"/>
      <c r="Y629" s="26"/>
      <c r="Z629" s="25"/>
      <c r="AB629" s="26"/>
      <c r="BN629" s="24"/>
      <c r="BO629" s="21"/>
      <c r="BP629" s="21"/>
      <c r="BQ629" s="21"/>
      <c r="BS629" s="22"/>
      <c r="BT629" s="21"/>
      <c r="BU629" s="21"/>
      <c r="CB629" s="21"/>
      <c r="CC629" s="21"/>
      <c r="CD629" s="21"/>
      <c r="CE629" s="21"/>
      <c r="CF629" s="21"/>
      <c r="CI629" s="23"/>
      <c r="CJ629" s="21"/>
      <c r="CK629" s="21"/>
      <c r="CL629" s="21"/>
      <c r="CM629" s="21"/>
      <c r="CQ629" s="21"/>
      <c r="CR629" s="21"/>
      <c r="CS629" s="21"/>
    </row>
    <row r="630" spans="11:97" ht="15.75">
      <c r="K630" s="25"/>
      <c r="M630" s="26"/>
      <c r="N630" s="25"/>
      <c r="P630" s="26"/>
      <c r="Q630" s="25"/>
      <c r="S630" s="26"/>
      <c r="T630" s="25"/>
      <c r="V630" s="26"/>
      <c r="W630" s="25"/>
      <c r="Y630" s="26"/>
      <c r="Z630" s="25"/>
      <c r="AB630" s="26"/>
      <c r="BN630" s="24"/>
      <c r="BO630" s="21"/>
      <c r="BP630" s="21"/>
      <c r="BQ630" s="21"/>
      <c r="BS630" s="22"/>
      <c r="BT630" s="21"/>
      <c r="BU630" s="21"/>
      <c r="CB630" s="21"/>
      <c r="CC630" s="21"/>
      <c r="CD630" s="21"/>
      <c r="CE630" s="21"/>
      <c r="CF630" s="21"/>
      <c r="CI630" s="23"/>
      <c r="CJ630" s="21"/>
      <c r="CK630" s="21"/>
      <c r="CL630" s="21"/>
      <c r="CM630" s="21"/>
      <c r="CQ630" s="21"/>
      <c r="CR630" s="21"/>
      <c r="CS630" s="21"/>
    </row>
    <row r="631" spans="11:97" ht="15.75">
      <c r="K631" s="25"/>
      <c r="M631" s="26"/>
      <c r="N631" s="25"/>
      <c r="P631" s="26"/>
      <c r="Q631" s="25"/>
      <c r="S631" s="26"/>
      <c r="T631" s="25"/>
      <c r="V631" s="26"/>
      <c r="W631" s="25"/>
      <c r="Y631" s="26"/>
      <c r="Z631" s="25"/>
      <c r="AB631" s="26"/>
      <c r="BN631" s="24"/>
      <c r="BO631" s="21"/>
      <c r="BP631" s="21"/>
      <c r="BQ631" s="21"/>
      <c r="BS631" s="22"/>
      <c r="BT631" s="21"/>
      <c r="BU631" s="21"/>
      <c r="CB631" s="21"/>
      <c r="CC631" s="21"/>
      <c r="CD631" s="21"/>
      <c r="CE631" s="21"/>
      <c r="CF631" s="21"/>
      <c r="CI631" s="23"/>
      <c r="CJ631" s="21"/>
      <c r="CK631" s="21"/>
      <c r="CL631" s="21"/>
      <c r="CM631" s="21"/>
      <c r="CQ631" s="21"/>
      <c r="CR631" s="21"/>
      <c r="CS631" s="21"/>
    </row>
    <row r="632" spans="11:97" ht="15.75">
      <c r="K632" s="25"/>
      <c r="M632" s="26"/>
      <c r="N632" s="25"/>
      <c r="P632" s="26"/>
      <c r="Q632" s="25"/>
      <c r="S632" s="26"/>
      <c r="T632" s="25"/>
      <c r="V632" s="26"/>
      <c r="W632" s="25"/>
      <c r="Y632" s="26"/>
      <c r="Z632" s="25"/>
      <c r="AB632" s="26"/>
      <c r="BN632" s="24"/>
      <c r="BO632" s="21"/>
      <c r="BP632" s="21"/>
      <c r="BQ632" s="21"/>
      <c r="BS632" s="22"/>
      <c r="BT632" s="21"/>
      <c r="BU632" s="21"/>
      <c r="CB632" s="21"/>
      <c r="CC632" s="21"/>
      <c r="CD632" s="21"/>
      <c r="CE632" s="21"/>
      <c r="CF632" s="21"/>
      <c r="CI632" s="23"/>
      <c r="CJ632" s="21"/>
      <c r="CK632" s="21"/>
      <c r="CL632" s="21"/>
      <c r="CM632" s="21"/>
      <c r="CQ632" s="21"/>
      <c r="CR632" s="21"/>
      <c r="CS632" s="21"/>
    </row>
    <row r="633" spans="11:97" ht="15.75">
      <c r="K633" s="25"/>
      <c r="M633" s="26"/>
      <c r="N633" s="25"/>
      <c r="P633" s="26"/>
      <c r="Q633" s="25"/>
      <c r="S633" s="26"/>
      <c r="T633" s="25"/>
      <c r="V633" s="26"/>
      <c r="W633" s="25"/>
      <c r="Y633" s="26"/>
      <c r="Z633" s="25"/>
      <c r="AB633" s="26"/>
      <c r="BN633" s="24"/>
      <c r="BO633" s="21"/>
      <c r="BP633" s="21"/>
      <c r="BQ633" s="21"/>
      <c r="BS633" s="22"/>
      <c r="BT633" s="21"/>
      <c r="BU633" s="21"/>
      <c r="CB633" s="21"/>
      <c r="CC633" s="21"/>
      <c r="CD633" s="21"/>
      <c r="CE633" s="21"/>
      <c r="CF633" s="21"/>
      <c r="CI633" s="23"/>
      <c r="CJ633" s="21"/>
      <c r="CK633" s="21"/>
      <c r="CL633" s="21"/>
      <c r="CM633" s="21"/>
      <c r="CQ633" s="21"/>
      <c r="CR633" s="21"/>
      <c r="CS633" s="21"/>
    </row>
    <row r="634" spans="11:97" ht="15.75">
      <c r="K634" s="25"/>
      <c r="M634" s="26"/>
      <c r="N634" s="25"/>
      <c r="P634" s="26"/>
      <c r="Q634" s="25"/>
      <c r="S634" s="26"/>
      <c r="T634" s="25"/>
      <c r="V634" s="26"/>
      <c r="W634" s="25"/>
      <c r="Y634" s="26"/>
      <c r="Z634" s="25"/>
      <c r="AB634" s="26"/>
      <c r="BN634" s="24"/>
      <c r="BO634" s="21"/>
      <c r="BP634" s="21"/>
      <c r="BQ634" s="21"/>
      <c r="BS634" s="22"/>
      <c r="BT634" s="21"/>
      <c r="BU634" s="21"/>
      <c r="CB634" s="21"/>
      <c r="CC634" s="21"/>
      <c r="CD634" s="21"/>
      <c r="CE634" s="21"/>
      <c r="CF634" s="21"/>
      <c r="CI634" s="23"/>
      <c r="CJ634" s="21"/>
      <c r="CK634" s="21"/>
      <c r="CL634" s="21"/>
      <c r="CM634" s="21"/>
      <c r="CQ634" s="21"/>
      <c r="CR634" s="21"/>
      <c r="CS634" s="21"/>
    </row>
    <row r="635" spans="11:97" ht="15.75">
      <c r="K635" s="25"/>
      <c r="M635" s="26"/>
      <c r="N635" s="25"/>
      <c r="P635" s="26"/>
      <c r="Q635" s="25"/>
      <c r="S635" s="26"/>
      <c r="T635" s="25"/>
      <c r="V635" s="26"/>
      <c r="W635" s="25"/>
      <c r="Y635" s="26"/>
      <c r="Z635" s="25"/>
      <c r="AB635" s="26"/>
      <c r="BN635" s="24"/>
      <c r="BO635" s="21"/>
      <c r="BP635" s="21"/>
      <c r="BQ635" s="21"/>
      <c r="BS635" s="22"/>
      <c r="BT635" s="21"/>
      <c r="BU635" s="21"/>
      <c r="CB635" s="21"/>
      <c r="CC635" s="21"/>
      <c r="CD635" s="21"/>
      <c r="CE635" s="21"/>
      <c r="CF635" s="21"/>
      <c r="CI635" s="23"/>
      <c r="CJ635" s="21"/>
      <c r="CK635" s="21"/>
      <c r="CL635" s="21"/>
      <c r="CM635" s="21"/>
      <c r="CQ635" s="21"/>
      <c r="CR635" s="21"/>
      <c r="CS635" s="21"/>
    </row>
    <row r="636" spans="11:97" ht="15.75">
      <c r="K636" s="25"/>
      <c r="M636" s="26"/>
      <c r="N636" s="25"/>
      <c r="P636" s="26"/>
      <c r="Q636" s="25"/>
      <c r="S636" s="26"/>
      <c r="T636" s="25"/>
      <c r="V636" s="26"/>
      <c r="W636" s="25"/>
      <c r="Y636" s="26"/>
      <c r="Z636" s="25"/>
      <c r="AB636" s="26"/>
      <c r="BN636" s="24"/>
      <c r="BO636" s="21"/>
      <c r="BP636" s="21"/>
      <c r="BQ636" s="21"/>
      <c r="BS636" s="22"/>
      <c r="BT636" s="21"/>
      <c r="BU636" s="21"/>
      <c r="CB636" s="21"/>
      <c r="CC636" s="21"/>
      <c r="CD636" s="21"/>
      <c r="CE636" s="21"/>
      <c r="CF636" s="21"/>
      <c r="CI636" s="23"/>
      <c r="CJ636" s="21"/>
      <c r="CK636" s="21"/>
      <c r="CL636" s="21"/>
      <c r="CM636" s="21"/>
      <c r="CQ636" s="21"/>
      <c r="CR636" s="21"/>
      <c r="CS636" s="21"/>
    </row>
    <row r="637" spans="11:97" ht="15.75">
      <c r="K637" s="25"/>
      <c r="M637" s="26"/>
      <c r="N637" s="25"/>
      <c r="P637" s="26"/>
      <c r="Q637" s="25"/>
      <c r="S637" s="26"/>
      <c r="T637" s="25"/>
      <c r="V637" s="26"/>
      <c r="W637" s="25"/>
      <c r="Y637" s="26"/>
      <c r="Z637" s="25"/>
      <c r="AB637" s="26"/>
      <c r="BN637" s="24"/>
      <c r="BO637" s="21"/>
      <c r="BP637" s="21"/>
      <c r="BQ637" s="21"/>
      <c r="BS637" s="22"/>
      <c r="BT637" s="21"/>
      <c r="BU637" s="21"/>
      <c r="CB637" s="21"/>
      <c r="CC637" s="21"/>
      <c r="CD637" s="21"/>
      <c r="CE637" s="21"/>
      <c r="CF637" s="21"/>
      <c r="CI637" s="23"/>
      <c r="CJ637" s="21"/>
      <c r="CK637" s="21"/>
      <c r="CL637" s="21"/>
      <c r="CM637" s="21"/>
      <c r="CQ637" s="21"/>
      <c r="CR637" s="21"/>
      <c r="CS637" s="21"/>
    </row>
    <row r="638" spans="11:97" ht="15.75">
      <c r="K638" s="25"/>
      <c r="M638" s="26"/>
      <c r="N638" s="25"/>
      <c r="P638" s="26"/>
      <c r="Q638" s="25"/>
      <c r="S638" s="26"/>
      <c r="T638" s="25"/>
      <c r="V638" s="26"/>
      <c r="W638" s="25"/>
      <c r="Y638" s="26"/>
      <c r="Z638" s="25"/>
      <c r="AB638" s="26"/>
      <c r="BN638" s="24"/>
      <c r="BO638" s="21"/>
      <c r="BP638" s="21"/>
      <c r="BQ638" s="21"/>
      <c r="BS638" s="22"/>
      <c r="BT638" s="21"/>
      <c r="BU638" s="21"/>
      <c r="CB638" s="21"/>
      <c r="CC638" s="21"/>
      <c r="CD638" s="21"/>
      <c r="CE638" s="21"/>
      <c r="CF638" s="21"/>
      <c r="CI638" s="23"/>
      <c r="CJ638" s="21"/>
      <c r="CK638" s="21"/>
      <c r="CL638" s="21"/>
      <c r="CM638" s="21"/>
      <c r="CQ638" s="21"/>
      <c r="CR638" s="21"/>
      <c r="CS638" s="21"/>
    </row>
    <row r="639" spans="11:97" ht="15.75">
      <c r="K639" s="25"/>
      <c r="M639" s="26"/>
      <c r="N639" s="25"/>
      <c r="P639" s="26"/>
      <c r="Q639" s="25"/>
      <c r="S639" s="26"/>
      <c r="T639" s="25"/>
      <c r="V639" s="26"/>
      <c r="W639" s="25"/>
      <c r="Y639" s="26"/>
      <c r="Z639" s="25"/>
      <c r="AB639" s="26"/>
      <c r="BN639" s="24"/>
      <c r="BO639" s="21"/>
      <c r="BP639" s="21"/>
      <c r="BQ639" s="21"/>
      <c r="BS639" s="22"/>
      <c r="BT639" s="21"/>
      <c r="BU639" s="21"/>
      <c r="CB639" s="21"/>
      <c r="CC639" s="21"/>
      <c r="CD639" s="21"/>
      <c r="CE639" s="21"/>
      <c r="CF639" s="21"/>
      <c r="CI639" s="23"/>
      <c r="CJ639" s="21"/>
      <c r="CK639" s="21"/>
      <c r="CL639" s="21"/>
      <c r="CM639" s="21"/>
      <c r="CQ639" s="21"/>
      <c r="CR639" s="21"/>
      <c r="CS639" s="21"/>
    </row>
    <row r="640" spans="11:97" ht="15.75">
      <c r="K640" s="25"/>
      <c r="M640" s="26"/>
      <c r="N640" s="25"/>
      <c r="P640" s="26"/>
      <c r="Q640" s="25"/>
      <c r="S640" s="26"/>
      <c r="T640" s="25"/>
      <c r="V640" s="26"/>
      <c r="W640" s="25"/>
      <c r="Y640" s="26"/>
      <c r="Z640" s="25"/>
      <c r="AB640" s="26"/>
      <c r="BN640" s="24"/>
      <c r="BO640" s="21"/>
      <c r="BP640" s="21"/>
      <c r="BQ640" s="21"/>
      <c r="BS640" s="22"/>
      <c r="BT640" s="21"/>
      <c r="BU640" s="21"/>
      <c r="CB640" s="21"/>
      <c r="CC640" s="21"/>
      <c r="CD640" s="21"/>
      <c r="CE640" s="21"/>
      <c r="CF640" s="21"/>
      <c r="CI640" s="23"/>
      <c r="CJ640" s="21"/>
      <c r="CK640" s="21"/>
      <c r="CL640" s="21"/>
      <c r="CM640" s="21"/>
      <c r="CQ640" s="21"/>
      <c r="CR640" s="21"/>
      <c r="CS640" s="21"/>
    </row>
    <row r="641" spans="6:97" ht="15.75">
      <c r="K641" s="25"/>
      <c r="M641" s="26"/>
      <c r="N641" s="25"/>
      <c r="P641" s="26"/>
      <c r="Q641" s="25"/>
      <c r="S641" s="26"/>
      <c r="T641" s="25"/>
      <c r="V641" s="26"/>
      <c r="W641" s="25"/>
      <c r="Y641" s="26"/>
      <c r="Z641" s="25"/>
      <c r="AB641" s="26"/>
      <c r="BN641" s="24"/>
      <c r="BO641" s="21"/>
      <c r="BP641" s="21"/>
      <c r="BQ641" s="21"/>
      <c r="BS641" s="22"/>
      <c r="BT641" s="21"/>
      <c r="BU641" s="21"/>
      <c r="CB641" s="21"/>
      <c r="CC641" s="21"/>
      <c r="CD641" s="21"/>
      <c r="CE641" s="21"/>
      <c r="CF641" s="21"/>
      <c r="CI641" s="23"/>
      <c r="CJ641" s="21"/>
      <c r="CK641" s="21"/>
      <c r="CL641" s="21"/>
      <c r="CM641" s="21"/>
      <c r="CQ641" s="21"/>
      <c r="CR641" s="21"/>
      <c r="CS641" s="21"/>
    </row>
    <row r="642" spans="6:97" ht="15.75">
      <c r="K642" s="25"/>
      <c r="M642" s="26"/>
      <c r="N642" s="25"/>
      <c r="P642" s="26"/>
      <c r="Q642" s="25"/>
      <c r="S642" s="26"/>
      <c r="T642" s="25"/>
      <c r="V642" s="26"/>
      <c r="W642" s="25"/>
      <c r="Y642" s="26"/>
      <c r="Z642" s="25"/>
      <c r="AB642" s="26"/>
      <c r="BN642" s="24"/>
      <c r="BO642" s="21"/>
      <c r="BP642" s="21"/>
      <c r="BQ642" s="21"/>
      <c r="BS642" s="22"/>
      <c r="BT642" s="21"/>
      <c r="BU642" s="21"/>
      <c r="CB642" s="21"/>
      <c r="CC642" s="21"/>
      <c r="CD642" s="21"/>
      <c r="CE642" s="21"/>
      <c r="CF642" s="21"/>
      <c r="CI642" s="23"/>
      <c r="CJ642" s="21"/>
      <c r="CK642" s="21"/>
      <c r="CL642" s="21"/>
      <c r="CM642" s="21"/>
      <c r="CQ642" s="21"/>
      <c r="CR642" s="21"/>
      <c r="CS642" s="21"/>
    </row>
    <row r="643" spans="6:97" ht="15.75">
      <c r="K643" s="25"/>
      <c r="M643" s="26"/>
      <c r="N643" s="25"/>
      <c r="P643" s="26"/>
      <c r="Q643" s="25"/>
      <c r="S643" s="26"/>
      <c r="T643" s="25"/>
      <c r="V643" s="26"/>
      <c r="W643" s="25"/>
      <c r="Y643" s="26"/>
      <c r="Z643" s="25"/>
      <c r="AB643" s="26"/>
      <c r="BN643" s="24"/>
      <c r="BO643" s="21"/>
      <c r="BP643" s="21"/>
      <c r="BQ643" s="21"/>
      <c r="BS643" s="22"/>
      <c r="BT643" s="21"/>
      <c r="BU643" s="21"/>
      <c r="CB643" s="21"/>
      <c r="CC643" s="21"/>
      <c r="CD643" s="21"/>
      <c r="CE643" s="21"/>
      <c r="CF643" s="21"/>
      <c r="CI643" s="23"/>
      <c r="CJ643" s="21"/>
      <c r="CK643" s="21"/>
      <c r="CL643" s="21"/>
      <c r="CM643" s="21"/>
      <c r="CQ643" s="21"/>
      <c r="CR643" s="21"/>
      <c r="CS643" s="21"/>
    </row>
    <row r="644" spans="6:97" ht="15.75">
      <c r="K644" s="25"/>
      <c r="M644" s="26"/>
      <c r="N644" s="25"/>
      <c r="P644" s="26"/>
      <c r="Q644" s="25"/>
      <c r="S644" s="26"/>
      <c r="T644" s="25"/>
      <c r="V644" s="26"/>
      <c r="W644" s="25"/>
      <c r="Y644" s="26"/>
      <c r="Z644" s="25"/>
      <c r="AB644" s="26"/>
      <c r="BN644" s="24"/>
      <c r="BO644" s="21"/>
      <c r="BP644" s="21"/>
      <c r="BQ644" s="21"/>
      <c r="BS644" s="22"/>
      <c r="BT644" s="21"/>
      <c r="BU644" s="21"/>
      <c r="CB644" s="21"/>
      <c r="CC644" s="21"/>
      <c r="CD644" s="21"/>
      <c r="CE644" s="21"/>
      <c r="CF644" s="21"/>
      <c r="CI644" s="23"/>
      <c r="CJ644" s="21"/>
      <c r="CK644" s="21"/>
      <c r="CL644" s="21"/>
      <c r="CM644" s="21"/>
      <c r="CQ644" s="21"/>
      <c r="CR644" s="21"/>
      <c r="CS644" s="21"/>
    </row>
    <row r="645" spans="6:97" ht="15.75">
      <c r="K645" s="25"/>
      <c r="M645" s="26"/>
      <c r="N645" s="25"/>
      <c r="P645" s="26"/>
      <c r="Q645" s="25"/>
      <c r="S645" s="26"/>
      <c r="T645" s="25"/>
      <c r="V645" s="26"/>
      <c r="W645" s="25"/>
      <c r="Y645" s="26"/>
      <c r="Z645" s="25"/>
      <c r="AB645" s="26"/>
      <c r="BN645" s="24"/>
      <c r="BO645" s="21"/>
      <c r="BP645" s="21"/>
      <c r="BQ645" s="21"/>
      <c r="BS645" s="22"/>
      <c r="BT645" s="21"/>
      <c r="BU645" s="21"/>
      <c r="CB645" s="21"/>
      <c r="CC645" s="21"/>
      <c r="CD645" s="21"/>
      <c r="CE645" s="21"/>
      <c r="CF645" s="21"/>
      <c r="CI645" s="23"/>
      <c r="CJ645" s="21"/>
      <c r="CK645" s="21"/>
      <c r="CL645" s="21"/>
      <c r="CM645" s="21"/>
      <c r="CQ645" s="21"/>
      <c r="CR645" s="21"/>
      <c r="CS645" s="21"/>
    </row>
    <row r="646" spans="6:97" ht="15.75">
      <c r="K646" s="25"/>
      <c r="M646" s="26"/>
      <c r="N646" s="25"/>
      <c r="P646" s="26"/>
      <c r="Q646" s="25"/>
      <c r="S646" s="26"/>
      <c r="T646" s="25"/>
      <c r="V646" s="26"/>
      <c r="W646" s="25"/>
      <c r="Y646" s="26"/>
      <c r="Z646" s="25"/>
      <c r="AB646" s="26"/>
      <c r="BN646" s="24"/>
      <c r="BO646" s="21"/>
      <c r="BP646" s="21"/>
      <c r="BQ646" s="21"/>
      <c r="BS646" s="22"/>
      <c r="BT646" s="21"/>
      <c r="BU646" s="21"/>
      <c r="CB646" s="21"/>
      <c r="CC646" s="21"/>
      <c r="CD646" s="21"/>
      <c r="CE646" s="21"/>
      <c r="CF646" s="21"/>
      <c r="CI646" s="23"/>
      <c r="CJ646" s="21"/>
      <c r="CK646" s="21"/>
      <c r="CL646" s="21"/>
      <c r="CM646" s="21"/>
      <c r="CQ646" s="21"/>
      <c r="CR646" s="21"/>
      <c r="CS646" s="21"/>
    </row>
    <row r="647" spans="6:97" ht="15.75">
      <c r="K647" s="25"/>
      <c r="M647" s="26"/>
      <c r="N647" s="25"/>
      <c r="P647" s="26"/>
      <c r="Q647" s="25"/>
      <c r="S647" s="26"/>
      <c r="T647" s="25"/>
      <c r="V647" s="26"/>
      <c r="W647" s="25"/>
      <c r="Y647" s="26"/>
      <c r="Z647" s="25"/>
      <c r="AB647" s="26"/>
      <c r="BN647" s="24"/>
      <c r="BO647" s="21"/>
      <c r="BP647" s="21"/>
      <c r="BQ647" s="21"/>
      <c r="BS647" s="22"/>
      <c r="BT647" s="21"/>
      <c r="BU647" s="21"/>
      <c r="CB647" s="21"/>
      <c r="CC647" s="21"/>
      <c r="CD647" s="21"/>
      <c r="CE647" s="21"/>
      <c r="CF647" s="21"/>
      <c r="CI647" s="23"/>
      <c r="CJ647" s="21"/>
      <c r="CK647" s="21"/>
      <c r="CL647" s="21"/>
      <c r="CM647" s="21"/>
      <c r="CQ647" s="21"/>
      <c r="CR647" s="21"/>
      <c r="CS647" s="21"/>
    </row>
    <row r="648" spans="6:97" ht="15.75">
      <c r="K648" s="25"/>
      <c r="M648" s="26"/>
      <c r="N648" s="25"/>
      <c r="P648" s="26"/>
      <c r="Q648" s="25"/>
      <c r="S648" s="26"/>
      <c r="T648" s="25"/>
      <c r="V648" s="26"/>
      <c r="W648" s="25"/>
      <c r="Y648" s="26"/>
      <c r="Z648" s="25"/>
      <c r="AB648" s="26"/>
      <c r="BN648" s="24"/>
      <c r="BO648" s="21"/>
      <c r="BP648" s="21"/>
      <c r="BQ648" s="21"/>
      <c r="BS648" s="22"/>
      <c r="BT648" s="21"/>
      <c r="BU648" s="21"/>
      <c r="CB648" s="21"/>
      <c r="CC648" s="21"/>
      <c r="CD648" s="21"/>
      <c r="CE648" s="21"/>
      <c r="CF648" s="21"/>
      <c r="CI648" s="23"/>
      <c r="CJ648" s="21"/>
      <c r="CK648" s="21"/>
      <c r="CL648" s="21"/>
      <c r="CM648" s="21"/>
      <c r="CQ648" s="21"/>
      <c r="CR648" s="21"/>
      <c r="CS648" s="21"/>
    </row>
    <row r="649" spans="6:97" ht="15.75">
      <c r="K649" s="25"/>
      <c r="M649" s="26"/>
      <c r="N649" s="25"/>
      <c r="P649" s="26"/>
      <c r="Q649" s="25"/>
      <c r="S649" s="26"/>
      <c r="T649" s="25"/>
      <c r="V649" s="26"/>
      <c r="W649" s="25"/>
      <c r="Y649" s="26"/>
      <c r="Z649" s="25"/>
      <c r="AB649" s="26"/>
      <c r="BN649" s="24"/>
      <c r="BO649" s="21"/>
      <c r="BP649" s="21"/>
      <c r="BQ649" s="21"/>
      <c r="BS649" s="22"/>
      <c r="BT649" s="21"/>
      <c r="BU649" s="21"/>
      <c r="CB649" s="21"/>
      <c r="CC649" s="21"/>
      <c r="CD649" s="21"/>
      <c r="CE649" s="21"/>
      <c r="CF649" s="21"/>
      <c r="CI649" s="23"/>
      <c r="CJ649" s="21"/>
      <c r="CK649" s="21"/>
      <c r="CL649" s="21"/>
      <c r="CM649" s="21"/>
      <c r="CQ649" s="21"/>
      <c r="CR649" s="21"/>
      <c r="CS649" s="21"/>
    </row>
    <row r="650" spans="6:97" ht="15.75">
      <c r="K650" s="25"/>
      <c r="M650" s="26"/>
      <c r="N650" s="25"/>
      <c r="P650" s="26"/>
      <c r="Q650" s="25"/>
      <c r="S650" s="26"/>
      <c r="T650" s="25"/>
      <c r="V650" s="26"/>
      <c r="W650" s="25"/>
      <c r="Y650" s="26"/>
      <c r="Z650" s="25"/>
      <c r="AB650" s="26"/>
      <c r="BN650" s="24"/>
      <c r="BO650" s="21"/>
      <c r="BP650" s="21"/>
      <c r="BQ650" s="21"/>
      <c r="BS650" s="22"/>
      <c r="BT650" s="21"/>
      <c r="BU650" s="21"/>
      <c r="CB650" s="21"/>
      <c r="CC650" s="21"/>
      <c r="CD650" s="21"/>
      <c r="CE650" s="21"/>
      <c r="CF650" s="21"/>
      <c r="CI650" s="23"/>
      <c r="CJ650" s="21"/>
      <c r="CK650" s="21"/>
      <c r="CL650" s="21"/>
      <c r="CM650" s="21"/>
      <c r="CQ650" s="21"/>
      <c r="CR650" s="21"/>
      <c r="CS650" s="21"/>
    </row>
    <row r="651" spans="6:97" ht="15.75">
      <c r="K651" s="25"/>
      <c r="M651" s="26"/>
      <c r="N651" s="25"/>
      <c r="P651" s="26"/>
      <c r="Q651" s="25"/>
      <c r="S651" s="26"/>
      <c r="T651" s="25"/>
      <c r="V651" s="26"/>
      <c r="W651" s="25"/>
      <c r="Y651" s="26"/>
      <c r="Z651" s="25"/>
      <c r="AB651" s="26"/>
      <c r="BN651" s="24"/>
      <c r="BO651" s="21"/>
      <c r="BP651" s="21"/>
      <c r="BQ651" s="21"/>
      <c r="BS651" s="22"/>
      <c r="BT651" s="21"/>
      <c r="BU651" s="21"/>
      <c r="CB651" s="21"/>
      <c r="CC651" s="21"/>
      <c r="CD651" s="21"/>
      <c r="CE651" s="21"/>
      <c r="CF651" s="21"/>
      <c r="CI651" s="23"/>
      <c r="CJ651" s="21"/>
      <c r="CK651" s="21"/>
      <c r="CL651" s="21"/>
      <c r="CM651" s="21"/>
      <c r="CQ651" s="21"/>
      <c r="CR651" s="21"/>
      <c r="CS651" s="21"/>
    </row>
    <row r="652" spans="6:97" ht="15.75">
      <c r="F652" s="32"/>
      <c r="K652" s="25"/>
      <c r="M652" s="26"/>
      <c r="N652" s="25"/>
      <c r="P652" s="26"/>
      <c r="Q652" s="25"/>
      <c r="S652" s="26"/>
      <c r="T652" s="25"/>
      <c r="V652" s="26"/>
      <c r="W652" s="25"/>
      <c r="Y652" s="26"/>
      <c r="Z652" s="25"/>
      <c r="AB652" s="26"/>
      <c r="BN652" s="24"/>
      <c r="BO652" s="21"/>
      <c r="BP652" s="21"/>
      <c r="BQ652" s="21"/>
      <c r="BS652" s="22"/>
      <c r="BT652" s="21"/>
      <c r="BU652" s="21"/>
      <c r="CB652" s="21"/>
      <c r="CC652" s="21"/>
      <c r="CD652" s="21"/>
      <c r="CE652" s="21"/>
      <c r="CF652" s="21"/>
      <c r="CI652" s="23"/>
      <c r="CJ652" s="21"/>
      <c r="CK652" s="21"/>
      <c r="CL652" s="21"/>
      <c r="CM652" s="21"/>
      <c r="CQ652" s="21"/>
      <c r="CR652" s="21"/>
      <c r="CS652" s="21"/>
    </row>
    <row r="653" spans="6:97" ht="15.75">
      <c r="F653" s="32"/>
      <c r="K653" s="25"/>
      <c r="M653" s="26"/>
      <c r="N653" s="25"/>
      <c r="P653" s="26"/>
      <c r="Q653" s="25"/>
      <c r="S653" s="26"/>
      <c r="T653" s="25"/>
      <c r="V653" s="26"/>
      <c r="W653" s="25"/>
      <c r="Y653" s="26"/>
      <c r="Z653" s="25"/>
      <c r="AB653" s="26"/>
      <c r="BN653" s="24"/>
      <c r="BO653" s="21"/>
      <c r="BP653" s="21"/>
      <c r="BQ653" s="21"/>
      <c r="BS653" s="22"/>
      <c r="BT653" s="21"/>
      <c r="BU653" s="21"/>
      <c r="CB653" s="21"/>
      <c r="CC653" s="21"/>
      <c r="CD653" s="21"/>
      <c r="CE653" s="21"/>
      <c r="CF653" s="21"/>
      <c r="CI653" s="23"/>
      <c r="CJ653" s="21"/>
      <c r="CK653" s="21"/>
      <c r="CL653" s="21"/>
      <c r="CM653" s="21"/>
      <c r="CQ653" s="21"/>
      <c r="CR653" s="21"/>
      <c r="CS653" s="21"/>
    </row>
    <row r="654" spans="6:97" ht="15.75">
      <c r="F654" s="32"/>
      <c r="K654" s="25"/>
      <c r="M654" s="26"/>
      <c r="N654" s="25"/>
      <c r="P654" s="26"/>
      <c r="Q654" s="25"/>
      <c r="S654" s="26"/>
      <c r="T654" s="25"/>
      <c r="V654" s="26"/>
      <c r="W654" s="25"/>
      <c r="Y654" s="26"/>
      <c r="Z654" s="25"/>
      <c r="AB654" s="26"/>
      <c r="BN654" s="24"/>
      <c r="BO654" s="21"/>
      <c r="BP654" s="21"/>
      <c r="BQ654" s="21"/>
      <c r="BS654" s="22"/>
      <c r="BT654" s="21"/>
      <c r="BU654" s="21"/>
      <c r="CB654" s="21"/>
      <c r="CC654" s="21"/>
      <c r="CD654" s="21"/>
      <c r="CE654" s="21"/>
      <c r="CF654" s="21"/>
      <c r="CI654" s="23"/>
      <c r="CJ654" s="21"/>
      <c r="CK654" s="21"/>
      <c r="CL654" s="21"/>
      <c r="CM654" s="21"/>
      <c r="CQ654" s="21"/>
      <c r="CR654" s="21"/>
      <c r="CS654" s="21"/>
    </row>
    <row r="655" spans="6:97" ht="15.75">
      <c r="F655" s="32"/>
      <c r="K655" s="25"/>
      <c r="M655" s="26"/>
      <c r="N655" s="25"/>
      <c r="P655" s="26"/>
      <c r="Q655" s="25"/>
      <c r="S655" s="26"/>
      <c r="T655" s="25"/>
      <c r="V655" s="26"/>
      <c r="W655" s="25"/>
      <c r="Y655" s="26"/>
      <c r="Z655" s="25"/>
      <c r="AB655" s="26"/>
      <c r="BN655" s="24"/>
      <c r="BO655" s="21"/>
      <c r="BP655" s="21"/>
      <c r="BQ655" s="21"/>
      <c r="BS655" s="22"/>
      <c r="BT655" s="21"/>
      <c r="BU655" s="21"/>
      <c r="CB655" s="21"/>
      <c r="CC655" s="21"/>
      <c r="CD655" s="21"/>
      <c r="CE655" s="21"/>
      <c r="CF655" s="21"/>
      <c r="CI655" s="23"/>
      <c r="CJ655" s="21"/>
      <c r="CK655" s="21"/>
      <c r="CL655" s="21"/>
      <c r="CM655" s="21"/>
      <c r="CQ655" s="21"/>
      <c r="CR655" s="21"/>
      <c r="CS655" s="21"/>
    </row>
    <row r="656" spans="6:97" ht="15.75">
      <c r="F656" s="32"/>
      <c r="K656" s="25"/>
      <c r="M656" s="26"/>
      <c r="N656" s="25"/>
      <c r="P656" s="26"/>
      <c r="Q656" s="25"/>
      <c r="S656" s="26"/>
      <c r="T656" s="25"/>
      <c r="V656" s="26"/>
      <c r="W656" s="25"/>
      <c r="Y656" s="26"/>
      <c r="Z656" s="25"/>
      <c r="AB656" s="26"/>
      <c r="BN656" s="24"/>
      <c r="BO656" s="21"/>
      <c r="BP656" s="21"/>
      <c r="BQ656" s="21"/>
      <c r="BS656" s="22"/>
      <c r="BT656" s="21"/>
      <c r="BU656" s="21"/>
      <c r="CB656" s="21"/>
      <c r="CC656" s="21"/>
      <c r="CD656" s="21"/>
      <c r="CE656" s="21"/>
      <c r="CF656" s="21"/>
      <c r="CI656" s="23"/>
      <c r="CJ656" s="21"/>
      <c r="CK656" s="21"/>
      <c r="CL656" s="21"/>
      <c r="CM656" s="21"/>
      <c r="CQ656" s="21"/>
      <c r="CR656" s="21"/>
      <c r="CS656" s="21"/>
    </row>
    <row r="657" spans="6:97" ht="15.75">
      <c r="F657" s="32"/>
      <c r="K657" s="25"/>
      <c r="M657" s="26"/>
      <c r="N657" s="25"/>
      <c r="P657" s="26"/>
      <c r="Q657" s="25"/>
      <c r="S657" s="26"/>
      <c r="T657" s="25"/>
      <c r="V657" s="26"/>
      <c r="W657" s="25"/>
      <c r="Y657" s="26"/>
      <c r="Z657" s="25"/>
      <c r="AB657" s="26"/>
      <c r="BN657" s="24"/>
      <c r="BO657" s="21"/>
      <c r="BP657" s="21"/>
      <c r="BQ657" s="21"/>
      <c r="BS657" s="22"/>
      <c r="BT657" s="21"/>
      <c r="BU657" s="21"/>
      <c r="CB657" s="21"/>
      <c r="CC657" s="21"/>
      <c r="CD657" s="21"/>
      <c r="CE657" s="21"/>
      <c r="CF657" s="21"/>
      <c r="CI657" s="23"/>
      <c r="CJ657" s="21"/>
      <c r="CK657" s="21"/>
      <c r="CL657" s="21"/>
      <c r="CM657" s="21"/>
      <c r="CQ657" s="21"/>
      <c r="CR657" s="21"/>
      <c r="CS657" s="21"/>
    </row>
    <row r="658" spans="6:97" ht="15.75">
      <c r="F658" s="32"/>
      <c r="K658" s="25"/>
      <c r="M658" s="26"/>
      <c r="N658" s="25"/>
      <c r="P658" s="26"/>
      <c r="Q658" s="25"/>
      <c r="S658" s="26"/>
      <c r="T658" s="25"/>
      <c r="V658" s="26"/>
      <c r="W658" s="25"/>
      <c r="Y658" s="26"/>
      <c r="Z658" s="25"/>
      <c r="AB658" s="26"/>
      <c r="BN658" s="24"/>
      <c r="BO658" s="21"/>
      <c r="BP658" s="21"/>
      <c r="BQ658" s="21"/>
      <c r="BS658" s="22"/>
      <c r="BT658" s="21"/>
      <c r="BU658" s="21"/>
      <c r="CB658" s="21"/>
      <c r="CC658" s="21"/>
      <c r="CD658" s="21"/>
      <c r="CE658" s="21"/>
      <c r="CF658" s="21"/>
      <c r="CI658" s="23"/>
      <c r="CJ658" s="21"/>
      <c r="CK658" s="21"/>
      <c r="CL658" s="21"/>
      <c r="CM658" s="21"/>
      <c r="CQ658" s="21"/>
      <c r="CR658" s="21"/>
      <c r="CS658" s="21"/>
    </row>
    <row r="659" spans="6:97" ht="15.75">
      <c r="F659" s="32"/>
      <c r="K659" s="25"/>
      <c r="M659" s="26"/>
      <c r="N659" s="25"/>
      <c r="P659" s="26"/>
      <c r="Q659" s="25"/>
      <c r="S659" s="26"/>
      <c r="T659" s="25"/>
      <c r="V659" s="26"/>
      <c r="W659" s="25"/>
      <c r="Y659" s="26"/>
      <c r="Z659" s="25"/>
      <c r="AB659" s="26"/>
      <c r="BN659" s="24"/>
      <c r="BO659" s="21"/>
      <c r="BP659" s="21"/>
      <c r="BQ659" s="21"/>
      <c r="BS659" s="22"/>
      <c r="BT659" s="21"/>
      <c r="BU659" s="21"/>
      <c r="CB659" s="21"/>
      <c r="CC659" s="21"/>
      <c r="CD659" s="21"/>
      <c r="CE659" s="21"/>
      <c r="CF659" s="21"/>
      <c r="CI659" s="23"/>
      <c r="CJ659" s="21"/>
      <c r="CK659" s="21"/>
      <c r="CL659" s="21"/>
      <c r="CM659" s="21"/>
      <c r="CQ659" s="21"/>
      <c r="CR659" s="21"/>
      <c r="CS659" s="21"/>
    </row>
    <row r="660" spans="6:97" ht="15.75">
      <c r="F660" s="32"/>
      <c r="K660" s="25"/>
      <c r="M660" s="26"/>
      <c r="N660" s="25"/>
      <c r="P660" s="26"/>
      <c r="Q660" s="25"/>
      <c r="S660" s="26"/>
      <c r="T660" s="25"/>
      <c r="V660" s="26"/>
      <c r="W660" s="25"/>
      <c r="Y660" s="26"/>
      <c r="Z660" s="25"/>
      <c r="AB660" s="26"/>
      <c r="BN660" s="24"/>
      <c r="BO660" s="21"/>
      <c r="BP660" s="21"/>
      <c r="BQ660" s="21"/>
      <c r="BS660" s="22"/>
      <c r="BT660" s="21"/>
      <c r="BU660" s="21"/>
      <c r="CB660" s="21"/>
      <c r="CC660" s="21"/>
      <c r="CD660" s="21"/>
      <c r="CE660" s="21"/>
      <c r="CF660" s="21"/>
      <c r="CI660" s="23"/>
      <c r="CJ660" s="21"/>
      <c r="CK660" s="21"/>
      <c r="CL660" s="21"/>
      <c r="CM660" s="21"/>
      <c r="CQ660" s="21"/>
      <c r="CR660" s="21"/>
      <c r="CS660" s="21"/>
    </row>
    <row r="661" spans="6:97" ht="15.75">
      <c r="F661" s="32"/>
      <c r="K661" s="25"/>
      <c r="M661" s="26"/>
      <c r="N661" s="25"/>
      <c r="P661" s="26"/>
      <c r="Q661" s="25"/>
      <c r="S661" s="26"/>
      <c r="T661" s="25"/>
      <c r="V661" s="26"/>
      <c r="W661" s="25"/>
      <c r="Y661" s="26"/>
      <c r="Z661" s="25"/>
      <c r="AB661" s="26"/>
      <c r="BN661" s="24"/>
      <c r="BO661" s="21"/>
      <c r="BP661" s="21"/>
      <c r="BQ661" s="21"/>
      <c r="BS661" s="22"/>
      <c r="BT661" s="21"/>
      <c r="BU661" s="21"/>
      <c r="CB661" s="21"/>
      <c r="CC661" s="21"/>
      <c r="CD661" s="21"/>
      <c r="CE661" s="21"/>
      <c r="CF661" s="21"/>
      <c r="CI661" s="23"/>
      <c r="CJ661" s="21"/>
      <c r="CK661" s="21"/>
      <c r="CL661" s="21"/>
      <c r="CM661" s="21"/>
      <c r="CQ661" s="21"/>
      <c r="CR661" s="21"/>
      <c r="CS661" s="21"/>
    </row>
    <row r="662" spans="6:97" ht="15.75">
      <c r="F662" s="32"/>
      <c r="K662" s="25"/>
      <c r="M662" s="26"/>
      <c r="N662" s="25"/>
      <c r="P662" s="26"/>
      <c r="Q662" s="25"/>
      <c r="S662" s="26"/>
      <c r="T662" s="25"/>
      <c r="V662" s="26"/>
      <c r="W662" s="25"/>
      <c r="Y662" s="26"/>
      <c r="Z662" s="25"/>
      <c r="AB662" s="26"/>
      <c r="BN662" s="24"/>
      <c r="BO662" s="21"/>
      <c r="BP662" s="21"/>
      <c r="BQ662" s="21"/>
      <c r="BS662" s="22"/>
      <c r="BT662" s="21"/>
      <c r="BU662" s="21"/>
      <c r="CB662" s="21"/>
      <c r="CC662" s="21"/>
      <c r="CD662" s="21"/>
      <c r="CE662" s="21"/>
      <c r="CF662" s="21"/>
      <c r="CI662" s="23"/>
      <c r="CJ662" s="21"/>
      <c r="CK662" s="21"/>
      <c r="CL662" s="21"/>
      <c r="CM662" s="21"/>
      <c r="CQ662" s="21"/>
      <c r="CR662" s="21"/>
      <c r="CS662" s="21"/>
    </row>
    <row r="663" spans="6:97" ht="15.75">
      <c r="F663" s="32"/>
      <c r="K663" s="25"/>
      <c r="M663" s="26"/>
      <c r="N663" s="25"/>
      <c r="P663" s="26"/>
      <c r="Q663" s="25"/>
      <c r="S663" s="26"/>
      <c r="T663" s="25"/>
      <c r="V663" s="26"/>
      <c r="W663" s="25"/>
      <c r="Y663" s="26"/>
      <c r="Z663" s="25"/>
      <c r="AB663" s="26"/>
      <c r="BN663" s="24"/>
      <c r="BO663" s="21"/>
      <c r="BP663" s="21"/>
      <c r="BQ663" s="21"/>
      <c r="BS663" s="22"/>
      <c r="BT663" s="21"/>
      <c r="BU663" s="21"/>
      <c r="CB663" s="21"/>
      <c r="CC663" s="21"/>
      <c r="CD663" s="21"/>
      <c r="CE663" s="21"/>
      <c r="CF663" s="21"/>
      <c r="CI663" s="23"/>
      <c r="CJ663" s="21"/>
      <c r="CK663" s="21"/>
      <c r="CL663" s="21"/>
      <c r="CM663" s="21"/>
      <c r="CQ663" s="21"/>
      <c r="CR663" s="21"/>
      <c r="CS663" s="21"/>
    </row>
    <row r="664" spans="6:97" ht="15.75">
      <c r="F664" s="32"/>
      <c r="K664" s="25"/>
      <c r="M664" s="26"/>
      <c r="N664" s="25"/>
      <c r="P664" s="26"/>
      <c r="Q664" s="25"/>
      <c r="S664" s="26"/>
      <c r="T664" s="25"/>
      <c r="V664" s="26"/>
      <c r="W664" s="25"/>
      <c r="Y664" s="26"/>
      <c r="Z664" s="25"/>
      <c r="AB664" s="26"/>
      <c r="BN664" s="24"/>
      <c r="BO664" s="21"/>
      <c r="BP664" s="21"/>
      <c r="BQ664" s="21"/>
      <c r="BS664" s="22"/>
      <c r="BT664" s="21"/>
      <c r="BU664" s="21"/>
      <c r="CB664" s="21"/>
      <c r="CC664" s="21"/>
      <c r="CD664" s="21"/>
      <c r="CE664" s="21"/>
      <c r="CF664" s="21"/>
      <c r="CI664" s="23"/>
      <c r="CJ664" s="21"/>
      <c r="CK664" s="21"/>
      <c r="CL664" s="21"/>
      <c r="CM664" s="21"/>
      <c r="CQ664" s="21"/>
      <c r="CR664" s="21"/>
      <c r="CS664" s="21"/>
    </row>
    <row r="665" spans="6:97" ht="15.75">
      <c r="F665" s="32"/>
      <c r="K665" s="25"/>
      <c r="M665" s="26"/>
      <c r="N665" s="25"/>
      <c r="P665" s="26"/>
      <c r="Q665" s="25"/>
      <c r="S665" s="26"/>
      <c r="T665" s="25"/>
      <c r="V665" s="26"/>
      <c r="W665" s="25"/>
      <c r="Y665" s="26"/>
      <c r="Z665" s="25"/>
      <c r="AB665" s="26"/>
      <c r="BN665" s="24"/>
      <c r="BO665" s="21"/>
      <c r="BP665" s="21"/>
      <c r="BQ665" s="21"/>
      <c r="BS665" s="22"/>
      <c r="BT665" s="21"/>
      <c r="BU665" s="21"/>
      <c r="CB665" s="21"/>
      <c r="CC665" s="21"/>
      <c r="CD665" s="21"/>
      <c r="CE665" s="21"/>
      <c r="CF665" s="21"/>
      <c r="CI665" s="23"/>
      <c r="CJ665" s="21"/>
      <c r="CK665" s="21"/>
      <c r="CL665" s="21"/>
      <c r="CM665" s="21"/>
      <c r="CQ665" s="21"/>
      <c r="CR665" s="21"/>
      <c r="CS665" s="21"/>
    </row>
    <row r="666" spans="6:97" ht="15.75">
      <c r="F666" s="32"/>
      <c r="K666" s="25"/>
      <c r="M666" s="26"/>
      <c r="N666" s="25"/>
      <c r="P666" s="26"/>
      <c r="Q666" s="25"/>
      <c r="S666" s="26"/>
      <c r="T666" s="25"/>
      <c r="V666" s="26"/>
      <c r="W666" s="25"/>
      <c r="Y666" s="26"/>
      <c r="Z666" s="25"/>
      <c r="AB666" s="26"/>
      <c r="BN666" s="24"/>
      <c r="BO666" s="21"/>
      <c r="BP666" s="21"/>
      <c r="BQ666" s="21"/>
      <c r="BS666" s="22"/>
      <c r="BT666" s="21"/>
      <c r="BU666" s="21"/>
      <c r="CB666" s="21"/>
      <c r="CC666" s="21"/>
      <c r="CD666" s="21"/>
      <c r="CE666" s="21"/>
      <c r="CF666" s="21"/>
      <c r="CI666" s="23"/>
      <c r="CJ666" s="21"/>
      <c r="CK666" s="21"/>
      <c r="CL666" s="21"/>
      <c r="CM666" s="21"/>
      <c r="CQ666" s="21"/>
      <c r="CR666" s="21"/>
      <c r="CS666" s="21"/>
    </row>
    <row r="667" spans="6:97" ht="15.75">
      <c r="F667" s="32"/>
      <c r="K667" s="25"/>
      <c r="M667" s="26"/>
      <c r="N667" s="25"/>
      <c r="P667" s="26"/>
      <c r="Q667" s="25"/>
      <c r="S667" s="26"/>
      <c r="T667" s="25"/>
      <c r="V667" s="26"/>
      <c r="W667" s="25"/>
      <c r="Y667" s="26"/>
      <c r="Z667" s="25"/>
      <c r="AB667" s="26"/>
      <c r="BN667" s="24"/>
      <c r="BO667" s="21"/>
      <c r="BP667" s="21"/>
      <c r="BQ667" s="21"/>
      <c r="BS667" s="22"/>
      <c r="BT667" s="21"/>
      <c r="BU667" s="21"/>
      <c r="CB667" s="21"/>
      <c r="CC667" s="21"/>
      <c r="CD667" s="21"/>
      <c r="CE667" s="21"/>
      <c r="CF667" s="21"/>
      <c r="CI667" s="23"/>
      <c r="CJ667" s="21"/>
      <c r="CK667" s="21"/>
      <c r="CL667" s="21"/>
      <c r="CM667" s="21"/>
      <c r="CQ667" s="21"/>
      <c r="CR667" s="21"/>
      <c r="CS667" s="21"/>
    </row>
    <row r="668" spans="6:97" ht="15.75">
      <c r="F668" s="32"/>
      <c r="K668" s="25"/>
      <c r="M668" s="26"/>
      <c r="N668" s="25"/>
      <c r="P668" s="26"/>
      <c r="Q668" s="25"/>
      <c r="S668" s="26"/>
      <c r="T668" s="25"/>
      <c r="V668" s="26"/>
      <c r="W668" s="25"/>
      <c r="Y668" s="26"/>
      <c r="Z668" s="25"/>
      <c r="AB668" s="26"/>
      <c r="BN668" s="24"/>
      <c r="BO668" s="21"/>
      <c r="BP668" s="21"/>
      <c r="BQ668" s="21"/>
      <c r="BS668" s="22"/>
      <c r="BT668" s="21"/>
      <c r="BU668" s="21"/>
      <c r="CB668" s="21"/>
      <c r="CC668" s="21"/>
      <c r="CD668" s="21"/>
      <c r="CE668" s="21"/>
      <c r="CF668" s="21"/>
      <c r="CI668" s="23"/>
      <c r="CJ668" s="21"/>
      <c r="CK668" s="21"/>
      <c r="CL668" s="21"/>
      <c r="CM668" s="21"/>
      <c r="CQ668" s="21"/>
      <c r="CR668" s="21"/>
      <c r="CS668" s="21"/>
    </row>
    <row r="669" spans="6:97" ht="15.75">
      <c r="K669" s="25"/>
      <c r="M669" s="26"/>
      <c r="N669" s="25"/>
      <c r="P669" s="26"/>
      <c r="Q669" s="25"/>
      <c r="S669" s="26"/>
      <c r="T669" s="25"/>
      <c r="V669" s="26"/>
      <c r="W669" s="25"/>
      <c r="Y669" s="26"/>
      <c r="Z669" s="25"/>
      <c r="AB669" s="26"/>
      <c r="BN669" s="24"/>
      <c r="BO669" s="21"/>
      <c r="BP669" s="21"/>
      <c r="BQ669" s="21"/>
      <c r="BS669" s="22"/>
      <c r="BT669" s="21"/>
      <c r="BU669" s="21"/>
      <c r="CB669" s="21"/>
      <c r="CC669" s="21"/>
      <c r="CD669" s="21"/>
      <c r="CE669" s="21"/>
      <c r="CF669" s="21"/>
      <c r="CI669" s="23"/>
      <c r="CJ669" s="21"/>
      <c r="CK669" s="21"/>
      <c r="CL669" s="21"/>
      <c r="CM669" s="21"/>
      <c r="CQ669" s="21"/>
      <c r="CR669" s="21"/>
      <c r="CS669" s="21"/>
    </row>
    <row r="670" spans="6:97" ht="15.75">
      <c r="K670" s="25"/>
      <c r="M670" s="26"/>
      <c r="N670" s="25"/>
      <c r="P670" s="26"/>
      <c r="Q670" s="25"/>
      <c r="S670" s="26"/>
      <c r="T670" s="25"/>
      <c r="V670" s="26"/>
      <c r="W670" s="25"/>
      <c r="Y670" s="26"/>
      <c r="Z670" s="25"/>
      <c r="AB670" s="26"/>
      <c r="BN670" s="24"/>
      <c r="BO670" s="21"/>
      <c r="BP670" s="21"/>
      <c r="BQ670" s="21"/>
      <c r="BS670" s="22"/>
      <c r="BT670" s="21"/>
      <c r="BU670" s="21"/>
      <c r="CB670" s="21"/>
      <c r="CC670" s="21"/>
      <c r="CD670" s="21"/>
      <c r="CE670" s="21"/>
      <c r="CF670" s="21"/>
      <c r="CI670" s="23"/>
      <c r="CJ670" s="21"/>
      <c r="CK670" s="21"/>
      <c r="CL670" s="21"/>
      <c r="CM670" s="21"/>
      <c r="CQ670" s="21"/>
      <c r="CR670" s="21"/>
      <c r="CS670" s="21"/>
    </row>
    <row r="671" spans="6:97" ht="15.75">
      <c r="K671" s="25"/>
      <c r="M671" s="26"/>
      <c r="N671" s="25"/>
      <c r="P671" s="26"/>
      <c r="Q671" s="25"/>
      <c r="S671" s="26"/>
      <c r="T671" s="25"/>
      <c r="V671" s="26"/>
      <c r="W671" s="25"/>
      <c r="Y671" s="26"/>
      <c r="Z671" s="25"/>
      <c r="AB671" s="26"/>
      <c r="BN671" s="24"/>
      <c r="BO671" s="21"/>
      <c r="BP671" s="21"/>
      <c r="BQ671" s="21"/>
      <c r="BS671" s="22"/>
      <c r="BT671" s="21"/>
      <c r="BU671" s="21"/>
      <c r="CB671" s="21"/>
      <c r="CC671" s="21"/>
      <c r="CD671" s="21"/>
      <c r="CE671" s="21"/>
      <c r="CF671" s="21"/>
      <c r="CI671" s="23"/>
      <c r="CJ671" s="21"/>
      <c r="CK671" s="21"/>
      <c r="CL671" s="21"/>
      <c r="CM671" s="21"/>
      <c r="CQ671" s="21"/>
      <c r="CR671" s="21"/>
      <c r="CS671" s="21"/>
    </row>
    <row r="672" spans="6:97" ht="15.75">
      <c r="K672" s="25"/>
      <c r="M672" s="26"/>
      <c r="N672" s="25"/>
      <c r="P672" s="26"/>
      <c r="Q672" s="25"/>
      <c r="S672" s="26"/>
      <c r="T672" s="25"/>
      <c r="V672" s="26"/>
      <c r="W672" s="25"/>
      <c r="Y672" s="26"/>
      <c r="Z672" s="25"/>
      <c r="AB672" s="26"/>
      <c r="BN672" s="24"/>
      <c r="BO672" s="21"/>
      <c r="BP672" s="21"/>
      <c r="BQ672" s="21"/>
      <c r="BS672" s="22"/>
      <c r="BT672" s="21"/>
      <c r="BU672" s="21"/>
      <c r="CB672" s="21"/>
      <c r="CC672" s="21"/>
      <c r="CD672" s="21"/>
      <c r="CE672" s="21"/>
      <c r="CF672" s="21"/>
      <c r="CI672" s="23"/>
      <c r="CJ672" s="21"/>
      <c r="CK672" s="21"/>
      <c r="CL672" s="21"/>
      <c r="CM672" s="21"/>
      <c r="CQ672" s="21"/>
      <c r="CR672" s="21"/>
      <c r="CS672" s="21"/>
    </row>
    <row r="673" spans="3:97" ht="15.75">
      <c r="K673" s="25"/>
      <c r="M673" s="26"/>
      <c r="N673" s="25"/>
      <c r="P673" s="26"/>
      <c r="Q673" s="25"/>
      <c r="S673" s="26"/>
      <c r="T673" s="25"/>
      <c r="V673" s="26"/>
      <c r="W673" s="25"/>
      <c r="Y673" s="26"/>
      <c r="Z673" s="25"/>
      <c r="AB673" s="26"/>
      <c r="BN673" s="24"/>
      <c r="BO673" s="21"/>
      <c r="BP673" s="21"/>
      <c r="BQ673" s="21"/>
      <c r="BS673" s="22"/>
      <c r="BT673" s="21"/>
      <c r="BU673" s="21"/>
      <c r="CB673" s="21"/>
      <c r="CC673" s="21"/>
      <c r="CD673" s="21"/>
      <c r="CE673" s="21"/>
      <c r="CF673" s="21"/>
      <c r="CI673" s="23"/>
      <c r="CJ673" s="21"/>
      <c r="CK673" s="21"/>
      <c r="CL673" s="21"/>
      <c r="CM673" s="21"/>
      <c r="CQ673" s="21"/>
      <c r="CR673" s="21"/>
      <c r="CS673" s="21"/>
    </row>
    <row r="674" spans="3:97" ht="15.75">
      <c r="K674" s="25"/>
      <c r="M674" s="26"/>
      <c r="N674" s="25"/>
      <c r="P674" s="26"/>
      <c r="Q674" s="25"/>
      <c r="S674" s="26"/>
      <c r="T674" s="25"/>
      <c r="V674" s="26"/>
      <c r="W674" s="25"/>
      <c r="Y674" s="26"/>
      <c r="Z674" s="25"/>
      <c r="AB674" s="26"/>
      <c r="BN674" s="24"/>
      <c r="BO674" s="21"/>
      <c r="BP674" s="21"/>
      <c r="BQ674" s="21"/>
      <c r="BS674" s="22"/>
      <c r="BT674" s="21"/>
      <c r="BU674" s="21"/>
      <c r="CB674" s="21"/>
      <c r="CC674" s="21"/>
      <c r="CD674" s="21"/>
      <c r="CE674" s="21"/>
      <c r="CF674" s="21"/>
      <c r="CI674" s="23"/>
      <c r="CJ674" s="21"/>
      <c r="CK674" s="21"/>
      <c r="CL674" s="21"/>
      <c r="CM674" s="21"/>
      <c r="CQ674" s="21"/>
      <c r="CR674" s="21"/>
      <c r="CS674" s="21"/>
    </row>
    <row r="675" spans="3:97" ht="15.75">
      <c r="K675" s="25"/>
      <c r="M675" s="26"/>
      <c r="N675" s="25"/>
      <c r="P675" s="26"/>
      <c r="Q675" s="25"/>
      <c r="S675" s="26"/>
      <c r="T675" s="25"/>
      <c r="V675" s="26"/>
      <c r="W675" s="25"/>
      <c r="Y675" s="26"/>
      <c r="Z675" s="25"/>
      <c r="AB675" s="26"/>
      <c r="BN675" s="24"/>
      <c r="BO675" s="21"/>
      <c r="BP675" s="21"/>
      <c r="BQ675" s="21"/>
      <c r="BS675" s="22"/>
      <c r="BT675" s="21"/>
      <c r="BU675" s="21"/>
      <c r="CB675" s="21"/>
      <c r="CC675" s="21"/>
      <c r="CD675" s="21"/>
      <c r="CE675" s="21"/>
      <c r="CF675" s="21"/>
      <c r="CI675" s="23"/>
      <c r="CJ675" s="21"/>
      <c r="CK675" s="21"/>
      <c r="CL675" s="21"/>
      <c r="CM675" s="21"/>
      <c r="CQ675" s="21"/>
      <c r="CR675" s="21"/>
      <c r="CS675" s="21"/>
    </row>
    <row r="676" spans="3:97" ht="15.75">
      <c r="K676" s="25"/>
      <c r="M676" s="26"/>
      <c r="N676" s="25"/>
      <c r="P676" s="26"/>
      <c r="Q676" s="25"/>
      <c r="S676" s="26"/>
      <c r="T676" s="25"/>
      <c r="V676" s="26"/>
      <c r="W676" s="25"/>
      <c r="Y676" s="26"/>
      <c r="Z676" s="25"/>
      <c r="AB676" s="26"/>
      <c r="BN676" s="24"/>
      <c r="BO676" s="21"/>
      <c r="BP676" s="21"/>
      <c r="BQ676" s="21"/>
      <c r="BS676" s="22"/>
      <c r="BT676" s="21"/>
      <c r="BU676" s="21"/>
      <c r="CB676" s="21"/>
      <c r="CC676" s="21"/>
      <c r="CD676" s="21"/>
      <c r="CE676" s="21"/>
      <c r="CF676" s="21"/>
      <c r="CI676" s="23"/>
      <c r="CJ676" s="21"/>
      <c r="CK676" s="21"/>
      <c r="CL676" s="21"/>
      <c r="CM676" s="21"/>
      <c r="CQ676" s="21"/>
      <c r="CR676" s="21"/>
      <c r="CS676" s="21"/>
    </row>
    <row r="677" spans="3:97" ht="15.75">
      <c r="K677" s="25"/>
      <c r="M677" s="26"/>
      <c r="N677" s="25"/>
      <c r="P677" s="26"/>
      <c r="Q677" s="25"/>
      <c r="S677" s="26"/>
      <c r="T677" s="25"/>
      <c r="V677" s="26"/>
      <c r="W677" s="25"/>
      <c r="Y677" s="26"/>
      <c r="Z677" s="25"/>
      <c r="AB677" s="26"/>
      <c r="BN677" s="24"/>
      <c r="BO677" s="21"/>
      <c r="BP677" s="21"/>
      <c r="BQ677" s="21"/>
      <c r="BS677" s="22"/>
      <c r="BT677" s="21"/>
      <c r="BU677" s="21"/>
      <c r="CB677" s="21"/>
      <c r="CC677" s="21"/>
      <c r="CD677" s="21"/>
      <c r="CE677" s="21"/>
      <c r="CF677" s="21"/>
      <c r="CI677" s="23"/>
      <c r="CJ677" s="21"/>
      <c r="CK677" s="21"/>
      <c r="CL677" s="21"/>
      <c r="CM677" s="21"/>
      <c r="CQ677" s="21"/>
      <c r="CR677" s="21"/>
      <c r="CS677" s="21"/>
    </row>
    <row r="678" spans="3:97" ht="15.75">
      <c r="K678" s="25"/>
      <c r="M678" s="26"/>
      <c r="N678" s="25"/>
      <c r="P678" s="26"/>
      <c r="Q678" s="25"/>
      <c r="S678" s="26"/>
      <c r="T678" s="25"/>
      <c r="V678" s="26"/>
      <c r="W678" s="25"/>
      <c r="Y678" s="26"/>
      <c r="Z678" s="25"/>
      <c r="AB678" s="26"/>
      <c r="BN678" s="24"/>
      <c r="BO678" s="21"/>
      <c r="BP678" s="21"/>
      <c r="BQ678" s="21"/>
      <c r="BS678" s="22"/>
      <c r="BT678" s="21"/>
      <c r="BU678" s="21"/>
      <c r="CB678" s="21"/>
      <c r="CC678" s="21"/>
      <c r="CD678" s="21"/>
      <c r="CE678" s="21"/>
      <c r="CF678" s="21"/>
      <c r="CI678" s="23"/>
      <c r="CJ678" s="21"/>
      <c r="CK678" s="21"/>
      <c r="CL678" s="21"/>
      <c r="CM678" s="21"/>
      <c r="CQ678" s="21"/>
      <c r="CR678" s="21"/>
      <c r="CS678" s="21"/>
    </row>
    <row r="679" spans="3:97" ht="15.75">
      <c r="K679" s="25"/>
      <c r="M679" s="26"/>
      <c r="N679" s="25"/>
      <c r="P679" s="26"/>
      <c r="Q679" s="25"/>
      <c r="S679" s="26"/>
      <c r="T679" s="25"/>
      <c r="V679" s="26"/>
      <c r="W679" s="25"/>
      <c r="Y679" s="26"/>
      <c r="Z679" s="25"/>
      <c r="AB679" s="26"/>
      <c r="BN679" s="24"/>
      <c r="BO679" s="21"/>
      <c r="BP679" s="21"/>
      <c r="BQ679" s="21"/>
      <c r="BS679" s="22"/>
      <c r="BT679" s="21"/>
      <c r="BU679" s="21"/>
      <c r="CB679" s="21"/>
      <c r="CC679" s="21"/>
      <c r="CD679" s="21"/>
      <c r="CE679" s="21"/>
      <c r="CF679" s="21"/>
      <c r="CI679" s="23"/>
      <c r="CJ679" s="21"/>
      <c r="CK679" s="21"/>
      <c r="CL679" s="21"/>
      <c r="CM679" s="21"/>
      <c r="CQ679" s="21"/>
      <c r="CR679" s="21"/>
      <c r="CS679" s="21"/>
    </row>
    <row r="680" spans="3:97" ht="15.75">
      <c r="K680" s="25"/>
      <c r="M680" s="26"/>
      <c r="N680" s="25"/>
      <c r="P680" s="26"/>
      <c r="Q680" s="25"/>
      <c r="S680" s="26"/>
      <c r="T680" s="25"/>
      <c r="V680" s="26"/>
      <c r="W680" s="25"/>
      <c r="Y680" s="26"/>
      <c r="Z680" s="25"/>
      <c r="AB680" s="26"/>
      <c r="BN680" s="24"/>
      <c r="BO680" s="21"/>
      <c r="BP680" s="21"/>
      <c r="BQ680" s="21"/>
      <c r="BS680" s="22"/>
      <c r="BT680" s="21"/>
      <c r="BU680" s="21"/>
      <c r="CB680" s="21"/>
      <c r="CC680" s="21"/>
      <c r="CD680" s="21"/>
      <c r="CE680" s="21"/>
      <c r="CF680" s="21"/>
      <c r="CI680" s="23"/>
      <c r="CJ680" s="21"/>
      <c r="CK680" s="21"/>
      <c r="CL680" s="21"/>
      <c r="CM680" s="21"/>
      <c r="CQ680" s="21"/>
      <c r="CR680" s="21"/>
      <c r="CS680" s="21"/>
    </row>
    <row r="681" spans="3:97" s="14" customFormat="1" ht="15.75">
      <c r="C681"/>
      <c r="D681"/>
      <c r="E681"/>
      <c r="F681" s="15"/>
      <c r="K681" s="16"/>
      <c r="M681" s="17"/>
      <c r="N681" s="16"/>
      <c r="P681" s="17"/>
      <c r="Q681" s="16"/>
      <c r="S681" s="17"/>
      <c r="T681" s="16"/>
      <c r="V681" s="17"/>
      <c r="W681" s="16"/>
      <c r="Y681" s="17"/>
      <c r="Z681" s="16"/>
      <c r="AB681" s="17"/>
      <c r="BN681" s="24"/>
      <c r="BO681" s="21"/>
      <c r="BP681" s="21"/>
      <c r="BQ681" s="21"/>
      <c r="BR681"/>
      <c r="BS681" s="22"/>
      <c r="BT681" s="21"/>
      <c r="BU681" s="21"/>
      <c r="BV681"/>
      <c r="BW681"/>
      <c r="BX681"/>
      <c r="BY681"/>
      <c r="BZ681"/>
      <c r="CA681"/>
      <c r="CB681" s="21"/>
      <c r="CC681" s="21"/>
      <c r="CD681" s="21"/>
      <c r="CE681" s="21"/>
      <c r="CF681" s="21"/>
      <c r="CG681"/>
      <c r="CH681"/>
      <c r="CI681" s="23"/>
      <c r="CJ681" s="21"/>
      <c r="CK681" s="21"/>
      <c r="CL681" s="21"/>
      <c r="CM681" s="21"/>
      <c r="CN681"/>
      <c r="CO681"/>
      <c r="CP681"/>
      <c r="CQ681" s="21"/>
      <c r="CR681" s="21"/>
      <c r="CS681" s="21"/>
    </row>
    <row r="682" spans="3:97" ht="15.75">
      <c r="K682" s="25"/>
      <c r="M682" s="26"/>
      <c r="N682" s="25"/>
      <c r="P682" s="26"/>
      <c r="Q682" s="25"/>
      <c r="S682" s="26"/>
      <c r="T682" s="25"/>
      <c r="V682" s="26"/>
      <c r="W682" s="25"/>
      <c r="Y682" s="26"/>
      <c r="Z682" s="25"/>
      <c r="AB682" s="26"/>
      <c r="BN682" s="24"/>
      <c r="BO682" s="21"/>
      <c r="BP682" s="21"/>
      <c r="BQ682" s="21"/>
      <c r="BS682" s="22"/>
      <c r="BT682" s="21"/>
      <c r="BU682" s="21"/>
      <c r="CB682" s="21"/>
      <c r="CC682" s="21"/>
      <c r="CD682" s="21"/>
      <c r="CE682" s="21"/>
      <c r="CF682" s="21"/>
      <c r="CI682" s="23"/>
      <c r="CJ682" s="21"/>
      <c r="CK682" s="21"/>
      <c r="CL682" s="21"/>
      <c r="CM682" s="21"/>
      <c r="CQ682" s="21"/>
      <c r="CR682" s="21"/>
      <c r="CS682" s="21"/>
    </row>
    <row r="683" spans="3:97" ht="15.75">
      <c r="K683" s="25"/>
      <c r="M683" s="26"/>
      <c r="N683" s="25"/>
      <c r="P683" s="26"/>
      <c r="Q683" s="25"/>
      <c r="S683" s="26"/>
      <c r="T683" s="25"/>
      <c r="V683" s="26"/>
      <c r="W683" s="25"/>
      <c r="Y683" s="26"/>
      <c r="Z683" s="25"/>
      <c r="AB683" s="26"/>
      <c r="BN683" s="24"/>
      <c r="BO683" s="21"/>
      <c r="BP683" s="21"/>
      <c r="BQ683" s="21"/>
      <c r="BS683" s="22"/>
      <c r="BT683" s="21"/>
      <c r="BU683" s="21"/>
      <c r="CB683" s="21"/>
      <c r="CC683" s="21"/>
      <c r="CD683" s="21"/>
      <c r="CE683" s="21"/>
      <c r="CF683" s="21"/>
      <c r="CI683" s="23"/>
      <c r="CJ683" s="21"/>
      <c r="CK683" s="21"/>
      <c r="CL683" s="21"/>
      <c r="CM683" s="21"/>
      <c r="CQ683" s="21"/>
      <c r="CR683" s="21"/>
      <c r="CS683" s="21"/>
    </row>
    <row r="684" spans="3:97" ht="15.75">
      <c r="K684" s="25"/>
      <c r="M684" s="26"/>
      <c r="N684" s="25"/>
      <c r="P684" s="26"/>
      <c r="Q684" s="25"/>
      <c r="S684" s="26"/>
      <c r="T684" s="25"/>
      <c r="V684" s="26"/>
      <c r="W684" s="25"/>
      <c r="Y684" s="26"/>
      <c r="Z684" s="25"/>
      <c r="AB684" s="26"/>
      <c r="BN684" s="24"/>
      <c r="BO684" s="21"/>
      <c r="BP684" s="21"/>
      <c r="BQ684" s="21"/>
      <c r="BS684" s="22"/>
      <c r="BT684" s="21"/>
      <c r="BU684" s="21"/>
      <c r="CB684" s="21"/>
      <c r="CC684" s="21"/>
      <c r="CD684" s="21"/>
      <c r="CE684" s="21"/>
      <c r="CF684" s="21"/>
      <c r="CI684" s="23"/>
      <c r="CJ684" s="21"/>
      <c r="CK684" s="21"/>
      <c r="CL684" s="21"/>
      <c r="CM684" s="21"/>
      <c r="CQ684" s="21"/>
      <c r="CR684" s="21"/>
      <c r="CS684" s="21"/>
    </row>
    <row r="685" spans="3:97" ht="15.75">
      <c r="K685" s="25"/>
      <c r="M685" s="26"/>
      <c r="N685" s="25"/>
      <c r="P685" s="26"/>
      <c r="Q685" s="25"/>
      <c r="S685" s="26"/>
      <c r="T685" s="25"/>
      <c r="V685" s="26"/>
      <c r="W685" s="25"/>
      <c r="Y685" s="26"/>
      <c r="Z685" s="25"/>
      <c r="AB685" s="26"/>
      <c r="BN685" s="24"/>
      <c r="BO685" s="21"/>
      <c r="BP685" s="21"/>
      <c r="BQ685" s="21"/>
      <c r="BS685" s="22"/>
      <c r="BT685" s="21"/>
      <c r="BU685" s="21"/>
      <c r="CB685" s="21"/>
      <c r="CC685" s="21"/>
      <c r="CD685" s="21"/>
      <c r="CE685" s="21"/>
      <c r="CF685" s="21"/>
      <c r="CI685" s="23"/>
      <c r="CJ685" s="21"/>
      <c r="CK685" s="21"/>
      <c r="CL685" s="21"/>
      <c r="CM685" s="21"/>
      <c r="CQ685" s="21"/>
      <c r="CR685" s="21"/>
      <c r="CS685" s="21"/>
    </row>
    <row r="686" spans="3:97" ht="15.75">
      <c r="K686" s="25"/>
      <c r="M686" s="26"/>
      <c r="N686" s="25"/>
      <c r="P686" s="26"/>
      <c r="Q686" s="25"/>
      <c r="S686" s="26"/>
      <c r="T686" s="25"/>
      <c r="V686" s="26"/>
      <c r="W686" s="25"/>
      <c r="Y686" s="26"/>
      <c r="Z686" s="25"/>
      <c r="AB686" s="26"/>
      <c r="BN686" s="24"/>
      <c r="BO686" s="21"/>
      <c r="BP686" s="21"/>
      <c r="BQ686" s="21"/>
      <c r="BS686" s="22"/>
      <c r="BT686" s="21"/>
      <c r="BU686" s="21"/>
      <c r="CB686" s="21"/>
      <c r="CC686" s="21"/>
      <c r="CD686" s="21"/>
      <c r="CE686" s="21"/>
      <c r="CF686" s="21"/>
      <c r="CI686" s="23"/>
      <c r="CJ686" s="21"/>
      <c r="CK686" s="21"/>
      <c r="CL686" s="21"/>
      <c r="CM686" s="21"/>
      <c r="CQ686" s="21"/>
      <c r="CR686" s="21"/>
      <c r="CS686" s="21"/>
    </row>
    <row r="687" spans="3:97" ht="15.75">
      <c r="K687" s="25"/>
      <c r="M687" s="26"/>
      <c r="N687" s="25"/>
      <c r="P687" s="26"/>
      <c r="Q687" s="25"/>
      <c r="S687" s="26"/>
      <c r="T687" s="25"/>
      <c r="V687" s="26"/>
      <c r="W687" s="25"/>
      <c r="Y687" s="26"/>
      <c r="Z687" s="25"/>
      <c r="AB687" s="26"/>
      <c r="BN687" s="24"/>
      <c r="BO687" s="21"/>
      <c r="BP687" s="21"/>
      <c r="BQ687" s="21"/>
      <c r="BS687" s="22"/>
      <c r="BT687" s="21"/>
      <c r="BU687" s="21"/>
      <c r="CB687" s="21"/>
      <c r="CC687" s="21"/>
      <c r="CD687" s="21"/>
      <c r="CE687" s="21"/>
      <c r="CF687" s="21"/>
      <c r="CI687" s="23"/>
      <c r="CJ687" s="21"/>
      <c r="CK687" s="21"/>
      <c r="CL687" s="21"/>
      <c r="CM687" s="21"/>
      <c r="CQ687" s="21"/>
      <c r="CR687" s="21"/>
      <c r="CS687" s="21"/>
    </row>
    <row r="688" spans="3:97" ht="15.75">
      <c r="K688" s="25"/>
      <c r="M688" s="26"/>
      <c r="N688" s="25"/>
      <c r="P688" s="26"/>
      <c r="Q688" s="25"/>
      <c r="S688" s="26"/>
      <c r="T688" s="25"/>
      <c r="V688" s="26"/>
      <c r="W688" s="25"/>
      <c r="Y688" s="26"/>
      <c r="Z688" s="25"/>
      <c r="AB688" s="26"/>
      <c r="BN688" s="24"/>
      <c r="BO688" s="21"/>
      <c r="BP688" s="21"/>
      <c r="BQ688" s="21"/>
      <c r="BS688" s="22"/>
      <c r="BT688" s="21"/>
      <c r="BU688" s="21"/>
      <c r="CB688" s="21"/>
      <c r="CC688" s="21"/>
      <c r="CD688" s="21"/>
      <c r="CE688" s="21"/>
      <c r="CF688" s="21"/>
      <c r="CI688" s="23"/>
      <c r="CJ688" s="21"/>
      <c r="CK688" s="21"/>
      <c r="CL688" s="21"/>
      <c r="CM688" s="21"/>
      <c r="CQ688" s="21"/>
      <c r="CR688" s="21"/>
      <c r="CS688" s="21"/>
    </row>
    <row r="689" spans="11:97" ht="15.75">
      <c r="K689" s="25"/>
      <c r="M689" s="26"/>
      <c r="N689" s="25"/>
      <c r="P689" s="26"/>
      <c r="Q689" s="25"/>
      <c r="S689" s="26"/>
      <c r="T689" s="25"/>
      <c r="V689" s="26"/>
      <c r="W689" s="25"/>
      <c r="Y689" s="26"/>
      <c r="Z689" s="25"/>
      <c r="AB689" s="26"/>
      <c r="BN689" s="24"/>
      <c r="BO689" s="21"/>
      <c r="BP689" s="21"/>
      <c r="BQ689" s="21"/>
      <c r="BS689" s="22"/>
      <c r="BT689" s="21"/>
      <c r="BU689" s="21"/>
      <c r="CB689" s="21"/>
      <c r="CC689" s="21"/>
      <c r="CD689" s="21"/>
      <c r="CE689" s="21"/>
      <c r="CF689" s="21"/>
      <c r="CI689" s="23"/>
      <c r="CJ689" s="21"/>
      <c r="CK689" s="21"/>
      <c r="CL689" s="21"/>
      <c r="CM689" s="21"/>
      <c r="CQ689" s="21"/>
      <c r="CR689" s="21"/>
      <c r="CS689" s="21"/>
    </row>
    <row r="690" spans="11:97" ht="15.75">
      <c r="K690" s="25"/>
      <c r="M690" s="26"/>
      <c r="N690" s="25"/>
      <c r="P690" s="26"/>
      <c r="Q690" s="25"/>
      <c r="S690" s="26"/>
      <c r="T690" s="25"/>
      <c r="V690" s="26"/>
      <c r="W690" s="25"/>
      <c r="Y690" s="26"/>
      <c r="Z690" s="25"/>
      <c r="AB690" s="26"/>
      <c r="BN690" s="24"/>
      <c r="BO690" s="21"/>
      <c r="BP690" s="21"/>
      <c r="BQ690" s="21"/>
      <c r="BS690" s="22"/>
      <c r="BT690" s="21"/>
      <c r="BU690" s="21"/>
      <c r="CB690" s="21"/>
      <c r="CC690" s="21"/>
      <c r="CD690" s="21"/>
      <c r="CE690" s="21"/>
      <c r="CF690" s="21"/>
      <c r="CI690" s="23"/>
      <c r="CJ690" s="21"/>
      <c r="CK690" s="21"/>
      <c r="CL690" s="21"/>
      <c r="CM690" s="21"/>
      <c r="CQ690" s="21"/>
      <c r="CR690" s="21"/>
      <c r="CS690" s="21"/>
    </row>
    <row r="691" spans="11:97" ht="15.75">
      <c r="K691" s="25"/>
      <c r="M691" s="26"/>
      <c r="N691" s="25"/>
      <c r="P691" s="26"/>
      <c r="Q691" s="25"/>
      <c r="S691" s="26"/>
      <c r="T691" s="25"/>
      <c r="V691" s="26"/>
      <c r="W691" s="25"/>
      <c r="Y691" s="26"/>
      <c r="Z691" s="25"/>
      <c r="AB691" s="26"/>
      <c r="BN691" s="24"/>
      <c r="BO691" s="21"/>
      <c r="BP691" s="21"/>
      <c r="BQ691" s="21"/>
      <c r="BS691" s="22"/>
      <c r="BT691" s="21"/>
      <c r="BU691" s="21"/>
      <c r="CB691" s="21"/>
      <c r="CC691" s="21"/>
      <c r="CD691" s="21"/>
      <c r="CE691" s="21"/>
      <c r="CF691" s="21"/>
      <c r="CI691" s="23"/>
      <c r="CJ691" s="21"/>
      <c r="CK691" s="21"/>
      <c r="CL691" s="21"/>
      <c r="CM691" s="21"/>
      <c r="CQ691" s="21"/>
      <c r="CR691" s="21"/>
      <c r="CS691" s="21"/>
    </row>
    <row r="692" spans="11:97" ht="15.75">
      <c r="K692" s="25"/>
      <c r="M692" s="26"/>
      <c r="N692" s="25"/>
      <c r="P692" s="26"/>
      <c r="Q692" s="25"/>
      <c r="S692" s="26"/>
      <c r="T692" s="25"/>
      <c r="V692" s="26"/>
      <c r="W692" s="25"/>
      <c r="Y692" s="26"/>
      <c r="Z692" s="25"/>
      <c r="AB692" s="26"/>
      <c r="BN692" s="24"/>
      <c r="BO692" s="21"/>
      <c r="BP692" s="21"/>
      <c r="BQ692" s="21"/>
      <c r="BS692" s="22"/>
      <c r="BT692" s="21"/>
      <c r="BU692" s="21"/>
      <c r="CB692" s="21"/>
      <c r="CC692" s="21"/>
      <c r="CD692" s="21"/>
      <c r="CE692" s="21"/>
      <c r="CF692" s="21"/>
      <c r="CI692" s="23"/>
      <c r="CJ692" s="21"/>
      <c r="CK692" s="21"/>
      <c r="CL692" s="21"/>
      <c r="CM692" s="21"/>
      <c r="CQ692" s="21"/>
      <c r="CR692" s="21"/>
      <c r="CS692" s="21"/>
    </row>
    <row r="693" spans="11:97" ht="15.75">
      <c r="K693" s="25"/>
      <c r="M693" s="26"/>
      <c r="N693" s="25"/>
      <c r="P693" s="26"/>
      <c r="Q693" s="25"/>
      <c r="S693" s="26"/>
      <c r="T693" s="25"/>
      <c r="V693" s="26"/>
      <c r="W693" s="25"/>
      <c r="Y693" s="26"/>
      <c r="Z693" s="25"/>
      <c r="AB693" s="26"/>
      <c r="BN693" s="24"/>
      <c r="BO693" s="21"/>
      <c r="BP693" s="21"/>
      <c r="BQ693" s="21"/>
      <c r="BS693" s="22"/>
      <c r="BT693" s="21"/>
      <c r="BU693" s="21"/>
      <c r="CB693" s="21"/>
      <c r="CC693" s="21"/>
      <c r="CD693" s="21"/>
      <c r="CE693" s="21"/>
      <c r="CF693" s="21"/>
      <c r="CI693" s="23"/>
      <c r="CJ693" s="21"/>
      <c r="CK693" s="21"/>
      <c r="CL693" s="21"/>
      <c r="CM693" s="21"/>
      <c r="CQ693" s="21"/>
      <c r="CR693" s="21"/>
      <c r="CS693" s="21"/>
    </row>
    <row r="694" spans="11:97" ht="15.75">
      <c r="K694" s="25"/>
      <c r="M694" s="26"/>
      <c r="N694" s="25"/>
      <c r="P694" s="26"/>
      <c r="Q694" s="25"/>
      <c r="S694" s="26"/>
      <c r="T694" s="25"/>
      <c r="V694" s="26"/>
      <c r="W694" s="25"/>
      <c r="Y694" s="26"/>
      <c r="Z694" s="25"/>
      <c r="AB694" s="26"/>
      <c r="BN694" s="24"/>
      <c r="BO694" s="21"/>
      <c r="BP694" s="21"/>
      <c r="BQ694" s="21"/>
      <c r="BS694" s="22"/>
      <c r="BT694" s="21"/>
      <c r="BU694" s="21"/>
      <c r="CB694" s="21"/>
      <c r="CC694" s="21"/>
      <c r="CD694" s="21"/>
      <c r="CE694" s="21"/>
      <c r="CF694" s="21"/>
      <c r="CI694" s="23"/>
      <c r="CJ694" s="21"/>
      <c r="CK694" s="21"/>
      <c r="CL694" s="21"/>
      <c r="CM694" s="21"/>
      <c r="CQ694" s="21"/>
      <c r="CR694" s="21"/>
      <c r="CS694" s="21"/>
    </row>
    <row r="695" spans="11:97" ht="15.75">
      <c r="K695" s="25"/>
      <c r="M695" s="26"/>
      <c r="N695" s="25"/>
      <c r="P695" s="26"/>
      <c r="Q695" s="25"/>
      <c r="S695" s="26"/>
      <c r="T695" s="25"/>
      <c r="V695" s="26"/>
      <c r="W695" s="25"/>
      <c r="Y695" s="26"/>
      <c r="Z695" s="25"/>
      <c r="AB695" s="26"/>
      <c r="BN695" s="24"/>
      <c r="BO695" s="21"/>
      <c r="BP695" s="21"/>
      <c r="BQ695" s="21"/>
      <c r="BS695" s="22"/>
      <c r="BT695" s="21"/>
      <c r="BU695" s="21"/>
      <c r="CB695" s="21"/>
      <c r="CC695" s="21"/>
      <c r="CD695" s="21"/>
      <c r="CE695" s="21"/>
      <c r="CF695" s="21"/>
      <c r="CI695" s="23"/>
      <c r="CJ695" s="21"/>
      <c r="CK695" s="21"/>
      <c r="CL695" s="21"/>
      <c r="CM695" s="21"/>
      <c r="CQ695" s="21"/>
      <c r="CR695" s="21"/>
      <c r="CS695" s="21"/>
    </row>
    <row r="696" spans="11:97" ht="15.75">
      <c r="K696" s="25"/>
      <c r="M696" s="26"/>
      <c r="N696" s="25"/>
      <c r="P696" s="26"/>
      <c r="Q696" s="25"/>
      <c r="S696" s="26"/>
      <c r="T696" s="25"/>
      <c r="V696" s="26"/>
      <c r="W696" s="25"/>
      <c r="Y696" s="26"/>
      <c r="Z696" s="25"/>
      <c r="AB696" s="26"/>
      <c r="BN696" s="24"/>
      <c r="BO696" s="21"/>
      <c r="BP696" s="21"/>
      <c r="BQ696" s="21"/>
      <c r="BS696" s="22"/>
      <c r="BT696" s="21"/>
      <c r="BU696" s="21"/>
      <c r="CB696" s="21"/>
      <c r="CC696" s="21"/>
      <c r="CD696" s="21"/>
      <c r="CE696" s="21"/>
      <c r="CF696" s="21"/>
      <c r="CI696" s="23"/>
      <c r="CJ696" s="21"/>
      <c r="CK696" s="21"/>
      <c r="CL696" s="21"/>
      <c r="CM696" s="21"/>
      <c r="CQ696" s="21"/>
      <c r="CR696" s="21"/>
      <c r="CS696" s="21"/>
    </row>
    <row r="697" spans="11:97" ht="15.75">
      <c r="K697" s="25"/>
      <c r="M697" s="26"/>
      <c r="N697" s="25"/>
      <c r="P697" s="26"/>
      <c r="Q697" s="25"/>
      <c r="S697" s="26"/>
      <c r="T697" s="25"/>
      <c r="V697" s="26"/>
      <c r="W697" s="25"/>
      <c r="Y697" s="26"/>
      <c r="Z697" s="25"/>
      <c r="AB697" s="26"/>
      <c r="BN697" s="24"/>
      <c r="BO697" s="21"/>
      <c r="BP697" s="21"/>
      <c r="BQ697" s="21"/>
      <c r="BS697" s="22"/>
      <c r="BT697" s="21"/>
      <c r="BU697" s="21"/>
      <c r="CB697" s="21"/>
      <c r="CC697" s="21"/>
      <c r="CD697" s="21"/>
      <c r="CE697" s="21"/>
      <c r="CF697" s="21"/>
      <c r="CI697" s="23"/>
      <c r="CJ697" s="21"/>
      <c r="CK697" s="21"/>
      <c r="CL697" s="21"/>
      <c r="CM697" s="21"/>
      <c r="CQ697" s="21"/>
      <c r="CR697" s="21"/>
      <c r="CS697" s="21"/>
    </row>
    <row r="698" spans="11:97" ht="15.75">
      <c r="K698" s="25"/>
      <c r="M698" s="26"/>
      <c r="N698" s="25"/>
      <c r="P698" s="26"/>
      <c r="Q698" s="25"/>
      <c r="S698" s="26"/>
      <c r="T698" s="25"/>
      <c r="V698" s="26"/>
      <c r="W698" s="25"/>
      <c r="Y698" s="26"/>
      <c r="Z698" s="25"/>
      <c r="AB698" s="26"/>
      <c r="BN698" s="24"/>
      <c r="BO698" s="21"/>
      <c r="BP698" s="21"/>
      <c r="BQ698" s="21"/>
      <c r="BS698" s="22"/>
      <c r="BT698" s="21"/>
      <c r="BU698" s="21"/>
      <c r="CB698" s="21"/>
      <c r="CC698" s="21"/>
      <c r="CD698" s="21"/>
      <c r="CE698" s="21"/>
      <c r="CF698" s="21"/>
      <c r="CI698" s="23"/>
      <c r="CJ698" s="21"/>
      <c r="CK698" s="21"/>
      <c r="CL698" s="21"/>
      <c r="CM698" s="21"/>
      <c r="CQ698" s="21"/>
      <c r="CR698" s="21"/>
      <c r="CS698" s="21"/>
    </row>
    <row r="699" spans="11:97" ht="15.75">
      <c r="K699" s="25"/>
      <c r="M699" s="26"/>
      <c r="N699" s="25"/>
      <c r="P699" s="26"/>
      <c r="Q699" s="25"/>
      <c r="S699" s="26"/>
      <c r="T699" s="25"/>
      <c r="V699" s="26"/>
      <c r="W699" s="25"/>
      <c r="Y699" s="26"/>
      <c r="Z699" s="25"/>
      <c r="AB699" s="26"/>
      <c r="BN699" s="24"/>
      <c r="BO699" s="21"/>
      <c r="BP699" s="21"/>
      <c r="BQ699" s="21"/>
      <c r="BS699" s="22"/>
      <c r="BT699" s="21"/>
      <c r="BU699" s="21"/>
      <c r="CB699" s="21"/>
      <c r="CC699" s="21"/>
      <c r="CD699" s="21"/>
      <c r="CE699" s="21"/>
      <c r="CF699" s="21"/>
      <c r="CI699" s="23"/>
      <c r="CJ699" s="21"/>
      <c r="CK699" s="21"/>
      <c r="CL699" s="21"/>
      <c r="CM699" s="21"/>
      <c r="CQ699" s="21"/>
      <c r="CR699" s="21"/>
      <c r="CS699" s="21"/>
    </row>
    <row r="700" spans="11:97" ht="15.75">
      <c r="K700" s="25"/>
      <c r="M700" s="26"/>
      <c r="N700" s="25"/>
      <c r="P700" s="26"/>
      <c r="Q700" s="25"/>
      <c r="S700" s="26"/>
      <c r="T700" s="25"/>
      <c r="V700" s="26"/>
      <c r="W700" s="25"/>
      <c r="Y700" s="26"/>
      <c r="Z700" s="25"/>
      <c r="AB700" s="26"/>
      <c r="BN700" s="24"/>
      <c r="BO700" s="21"/>
      <c r="BP700" s="21"/>
      <c r="BQ700" s="21"/>
      <c r="BS700" s="22"/>
      <c r="BT700" s="21"/>
      <c r="BU700" s="21"/>
      <c r="CB700" s="21"/>
      <c r="CC700" s="21"/>
      <c r="CD700" s="21"/>
      <c r="CE700" s="21"/>
      <c r="CF700" s="21"/>
      <c r="CI700" s="23"/>
      <c r="CJ700" s="21"/>
      <c r="CK700" s="21"/>
      <c r="CL700" s="21"/>
      <c r="CM700" s="21"/>
      <c r="CQ700" s="21"/>
      <c r="CR700" s="21"/>
      <c r="CS700" s="21"/>
    </row>
    <row r="701" spans="11:97" ht="15.75">
      <c r="K701" s="25"/>
      <c r="M701" s="26"/>
      <c r="N701" s="25"/>
      <c r="P701" s="26"/>
      <c r="Q701" s="25"/>
      <c r="S701" s="26"/>
      <c r="T701" s="25"/>
      <c r="V701" s="26"/>
      <c r="W701" s="25"/>
      <c r="Y701" s="26"/>
      <c r="Z701" s="25"/>
      <c r="AB701" s="26"/>
      <c r="BN701" s="24"/>
      <c r="BO701" s="21"/>
      <c r="BP701" s="21"/>
      <c r="BQ701" s="21"/>
      <c r="BS701" s="22"/>
      <c r="BT701" s="21"/>
      <c r="BU701" s="21"/>
      <c r="CB701" s="21"/>
      <c r="CC701" s="21"/>
      <c r="CD701" s="21"/>
      <c r="CE701" s="21"/>
      <c r="CF701" s="21"/>
      <c r="CI701" s="23"/>
      <c r="CJ701" s="21"/>
      <c r="CK701" s="21"/>
      <c r="CL701" s="21"/>
      <c r="CM701" s="21"/>
      <c r="CQ701" s="21"/>
      <c r="CR701" s="21"/>
      <c r="CS701" s="21"/>
    </row>
    <row r="702" spans="11:97" ht="15.75">
      <c r="K702" s="25"/>
      <c r="M702" s="26"/>
      <c r="N702" s="25"/>
      <c r="P702" s="26"/>
      <c r="Q702" s="25"/>
      <c r="S702" s="26"/>
      <c r="T702" s="25"/>
      <c r="V702" s="26"/>
      <c r="W702" s="25"/>
      <c r="Y702" s="26"/>
      <c r="Z702" s="25"/>
      <c r="AB702" s="26"/>
      <c r="BN702" s="24"/>
      <c r="BO702" s="21"/>
      <c r="BP702" s="21"/>
      <c r="BQ702" s="21"/>
      <c r="BS702" s="22"/>
      <c r="BT702" s="21"/>
      <c r="BU702" s="21"/>
      <c r="CB702" s="21"/>
      <c r="CC702" s="21"/>
      <c r="CD702" s="21"/>
      <c r="CE702" s="21"/>
      <c r="CF702" s="21"/>
      <c r="CI702" s="23"/>
      <c r="CJ702" s="21"/>
      <c r="CK702" s="21"/>
      <c r="CL702" s="21"/>
      <c r="CM702" s="21"/>
      <c r="CQ702" s="21"/>
      <c r="CR702" s="21"/>
      <c r="CS702" s="21"/>
    </row>
    <row r="703" spans="11:97" ht="15.75">
      <c r="K703" s="25"/>
      <c r="M703" s="26"/>
      <c r="N703" s="25"/>
      <c r="P703" s="26"/>
      <c r="Q703" s="25"/>
      <c r="S703" s="26"/>
      <c r="T703" s="25"/>
      <c r="V703" s="26"/>
      <c r="W703" s="25"/>
      <c r="Y703" s="26"/>
      <c r="Z703" s="25"/>
      <c r="AB703" s="26"/>
      <c r="BN703" s="24"/>
      <c r="BO703" s="21"/>
      <c r="BP703" s="21"/>
      <c r="BQ703" s="21"/>
      <c r="BS703" s="22"/>
      <c r="BT703" s="21"/>
      <c r="BU703" s="21"/>
      <c r="CB703" s="21"/>
      <c r="CC703" s="21"/>
      <c r="CD703" s="21"/>
      <c r="CE703" s="21"/>
      <c r="CF703" s="21"/>
      <c r="CI703" s="23"/>
      <c r="CJ703" s="21"/>
      <c r="CK703" s="21"/>
      <c r="CL703" s="21"/>
      <c r="CM703" s="21"/>
      <c r="CQ703" s="21"/>
      <c r="CR703" s="21"/>
      <c r="CS703" s="21"/>
    </row>
    <row r="704" spans="11:97" ht="15.75">
      <c r="K704" s="25"/>
      <c r="M704" s="26"/>
      <c r="N704" s="25"/>
      <c r="P704" s="26"/>
      <c r="Q704" s="25"/>
      <c r="S704" s="26"/>
      <c r="T704" s="25"/>
      <c r="V704" s="26"/>
      <c r="W704" s="25"/>
      <c r="Y704" s="26"/>
      <c r="Z704" s="25"/>
      <c r="AB704" s="26"/>
      <c r="BN704" s="24"/>
      <c r="BO704" s="21"/>
      <c r="BP704" s="21"/>
      <c r="BQ704" s="21"/>
      <c r="BS704" s="22"/>
      <c r="BT704" s="21"/>
      <c r="BU704" s="21"/>
      <c r="CB704" s="21"/>
      <c r="CC704" s="21"/>
      <c r="CD704" s="21"/>
      <c r="CE704" s="21"/>
      <c r="CF704" s="21"/>
      <c r="CI704" s="23"/>
      <c r="CJ704" s="21"/>
      <c r="CK704" s="21"/>
      <c r="CL704" s="21"/>
      <c r="CM704" s="21"/>
      <c r="CQ704" s="21"/>
      <c r="CR704" s="21"/>
      <c r="CS704" s="21"/>
    </row>
    <row r="705" spans="11:97" ht="15.75">
      <c r="K705" s="25"/>
      <c r="M705" s="26"/>
      <c r="N705" s="25"/>
      <c r="P705" s="26"/>
      <c r="Q705" s="25"/>
      <c r="S705" s="26"/>
      <c r="T705" s="25"/>
      <c r="V705" s="26"/>
      <c r="W705" s="25"/>
      <c r="Y705" s="26"/>
      <c r="Z705" s="25"/>
      <c r="AB705" s="26"/>
      <c r="BN705" s="24"/>
      <c r="BO705" s="21"/>
      <c r="BP705" s="21"/>
      <c r="BQ705" s="21"/>
      <c r="BS705" s="22"/>
      <c r="BT705" s="21"/>
      <c r="BU705" s="21"/>
      <c r="CB705" s="21"/>
      <c r="CC705" s="21"/>
      <c r="CD705" s="21"/>
      <c r="CE705" s="21"/>
      <c r="CF705" s="21"/>
      <c r="CI705" s="23"/>
      <c r="CJ705" s="21"/>
      <c r="CK705" s="21"/>
      <c r="CL705" s="21"/>
      <c r="CM705" s="21"/>
      <c r="CQ705" s="21"/>
      <c r="CR705" s="21"/>
      <c r="CS705" s="21"/>
    </row>
    <row r="706" spans="11:97" ht="15.75">
      <c r="K706" s="25"/>
      <c r="M706" s="26"/>
      <c r="N706" s="25"/>
      <c r="P706" s="26"/>
      <c r="Q706" s="25"/>
      <c r="S706" s="26"/>
      <c r="T706" s="25"/>
      <c r="V706" s="26"/>
      <c r="W706" s="25"/>
      <c r="Y706" s="26"/>
      <c r="Z706" s="25"/>
      <c r="AB706" s="26"/>
      <c r="BN706" s="24"/>
      <c r="BO706" s="21"/>
      <c r="BP706" s="21"/>
      <c r="BQ706" s="21"/>
      <c r="BS706" s="22"/>
      <c r="BT706" s="21"/>
      <c r="BU706" s="21"/>
      <c r="CB706" s="21"/>
      <c r="CC706" s="21"/>
      <c r="CD706" s="21"/>
      <c r="CE706" s="21"/>
      <c r="CF706" s="21"/>
      <c r="CI706" s="23"/>
      <c r="CJ706" s="21"/>
      <c r="CK706" s="21"/>
      <c r="CL706" s="21"/>
      <c r="CM706" s="21"/>
      <c r="CQ706" s="21"/>
      <c r="CR706" s="21"/>
      <c r="CS706" s="21"/>
    </row>
    <row r="707" spans="11:97" ht="15.75">
      <c r="K707" s="25"/>
      <c r="M707" s="26"/>
      <c r="N707" s="25"/>
      <c r="P707" s="26"/>
      <c r="Q707" s="25"/>
      <c r="S707" s="26"/>
      <c r="T707" s="25"/>
      <c r="V707" s="26"/>
      <c r="W707" s="25"/>
      <c r="Y707" s="26"/>
      <c r="Z707" s="25"/>
      <c r="AB707" s="26"/>
      <c r="BN707" s="24"/>
      <c r="BO707" s="21"/>
      <c r="BP707" s="21"/>
      <c r="BQ707" s="21"/>
      <c r="BS707" s="22"/>
      <c r="BT707" s="21"/>
      <c r="BU707" s="21"/>
      <c r="CB707" s="21"/>
      <c r="CC707" s="21"/>
      <c r="CD707" s="21"/>
      <c r="CE707" s="21"/>
      <c r="CF707" s="21"/>
      <c r="CI707" s="23"/>
      <c r="CJ707" s="21"/>
      <c r="CK707" s="21"/>
      <c r="CL707" s="21"/>
      <c r="CM707" s="21"/>
      <c r="CQ707" s="21"/>
      <c r="CR707" s="21"/>
      <c r="CS707" s="21"/>
    </row>
    <row r="708" spans="11:97" ht="15.75">
      <c r="K708" s="25"/>
      <c r="M708" s="26"/>
      <c r="N708" s="25"/>
      <c r="P708" s="26"/>
      <c r="Q708" s="25"/>
      <c r="S708" s="26"/>
      <c r="T708" s="25"/>
      <c r="V708" s="26"/>
      <c r="W708" s="25"/>
      <c r="Y708" s="26"/>
      <c r="Z708" s="25"/>
      <c r="AB708" s="26"/>
      <c r="BN708" s="24"/>
      <c r="BO708" s="21"/>
      <c r="BP708" s="21"/>
      <c r="BQ708" s="21"/>
      <c r="BS708" s="22"/>
      <c r="BT708" s="21"/>
      <c r="BU708" s="21"/>
      <c r="CB708" s="21"/>
      <c r="CC708" s="21"/>
      <c r="CD708" s="21"/>
      <c r="CE708" s="21"/>
      <c r="CF708" s="21"/>
      <c r="CI708" s="23"/>
      <c r="CJ708" s="21"/>
      <c r="CK708" s="21"/>
      <c r="CL708" s="21"/>
      <c r="CM708" s="21"/>
      <c r="CQ708" s="21"/>
      <c r="CR708" s="21"/>
      <c r="CS708" s="21"/>
    </row>
    <row r="709" spans="11:97" ht="15.75">
      <c r="K709" s="25"/>
      <c r="M709" s="26"/>
      <c r="N709" s="25"/>
      <c r="P709" s="26"/>
      <c r="Q709" s="25"/>
      <c r="S709" s="26"/>
      <c r="T709" s="25"/>
      <c r="V709" s="26"/>
      <c r="W709" s="25"/>
      <c r="Y709" s="26"/>
      <c r="Z709" s="25"/>
      <c r="AB709" s="26"/>
      <c r="BN709" s="24"/>
      <c r="BO709" s="21"/>
      <c r="BP709" s="21"/>
      <c r="BQ709" s="21"/>
      <c r="BS709" s="22"/>
      <c r="BT709" s="21"/>
      <c r="BU709" s="21"/>
      <c r="CB709" s="21"/>
      <c r="CC709" s="21"/>
      <c r="CD709" s="21"/>
      <c r="CE709" s="21"/>
      <c r="CF709" s="21"/>
      <c r="CI709" s="23"/>
      <c r="CJ709" s="21"/>
      <c r="CK709" s="21"/>
      <c r="CL709" s="21"/>
      <c r="CM709" s="21"/>
      <c r="CQ709" s="21"/>
      <c r="CR709" s="21"/>
      <c r="CS709" s="21"/>
    </row>
    <row r="710" spans="11:97" ht="15.75">
      <c r="K710" s="25"/>
      <c r="M710" s="26"/>
      <c r="N710" s="25"/>
      <c r="P710" s="26"/>
      <c r="Q710" s="25"/>
      <c r="S710" s="26"/>
      <c r="T710" s="25"/>
      <c r="V710" s="26"/>
      <c r="W710" s="25"/>
      <c r="Y710" s="26"/>
      <c r="Z710" s="25"/>
      <c r="AB710" s="26"/>
      <c r="BN710" s="24"/>
      <c r="BO710" s="21"/>
      <c r="BP710" s="21"/>
      <c r="BQ710" s="21"/>
      <c r="BS710" s="22"/>
      <c r="BT710" s="21"/>
      <c r="BU710" s="21"/>
      <c r="CB710" s="21"/>
      <c r="CC710" s="21"/>
      <c r="CD710" s="21"/>
      <c r="CE710" s="21"/>
      <c r="CF710" s="21"/>
      <c r="CI710" s="23"/>
      <c r="CJ710" s="21"/>
      <c r="CK710" s="21"/>
      <c r="CL710" s="21"/>
      <c r="CM710" s="21"/>
      <c r="CQ710" s="21"/>
      <c r="CR710" s="21"/>
      <c r="CS710" s="21"/>
    </row>
    <row r="711" spans="11:97" ht="15.75">
      <c r="K711" s="25"/>
      <c r="M711" s="26"/>
      <c r="N711" s="25"/>
      <c r="P711" s="26"/>
      <c r="Q711" s="25"/>
      <c r="S711" s="26"/>
      <c r="T711" s="25"/>
      <c r="V711" s="26"/>
      <c r="W711" s="25"/>
      <c r="Y711" s="26"/>
      <c r="Z711" s="25"/>
      <c r="AB711" s="26"/>
      <c r="BN711" s="24"/>
      <c r="BO711" s="21"/>
      <c r="BP711" s="21"/>
      <c r="BQ711" s="21"/>
      <c r="BS711" s="22"/>
      <c r="BT711" s="21"/>
      <c r="BU711" s="21"/>
      <c r="CB711" s="21"/>
      <c r="CC711" s="21"/>
      <c r="CD711" s="21"/>
      <c r="CE711" s="21"/>
      <c r="CF711" s="21"/>
      <c r="CI711" s="23"/>
      <c r="CJ711" s="21"/>
      <c r="CK711" s="21"/>
      <c r="CL711" s="21"/>
      <c r="CM711" s="21"/>
      <c r="CQ711" s="21"/>
      <c r="CR711" s="21"/>
      <c r="CS711" s="21"/>
    </row>
    <row r="712" spans="11:97" ht="15.75">
      <c r="K712" s="25"/>
      <c r="M712" s="26"/>
      <c r="N712" s="25"/>
      <c r="P712" s="26"/>
      <c r="Q712" s="25"/>
      <c r="S712" s="26"/>
      <c r="T712" s="25"/>
      <c r="V712" s="26"/>
      <c r="W712" s="25"/>
      <c r="Y712" s="26"/>
      <c r="Z712" s="25"/>
      <c r="AB712" s="26"/>
      <c r="BN712" s="24"/>
      <c r="BO712" s="21"/>
      <c r="BP712" s="21"/>
      <c r="BQ712" s="21"/>
      <c r="BS712" s="22"/>
      <c r="BT712" s="21"/>
      <c r="BU712" s="21"/>
      <c r="CB712" s="21"/>
      <c r="CC712" s="21"/>
      <c r="CD712" s="21"/>
      <c r="CE712" s="21"/>
      <c r="CF712" s="21"/>
      <c r="CI712" s="23"/>
      <c r="CJ712" s="21"/>
      <c r="CK712" s="21"/>
      <c r="CL712" s="21"/>
      <c r="CM712" s="21"/>
      <c r="CQ712" s="21"/>
      <c r="CR712" s="21"/>
      <c r="CS712" s="21"/>
    </row>
    <row r="713" spans="11:97" ht="15.75">
      <c r="K713" s="25"/>
      <c r="M713" s="26"/>
      <c r="N713" s="25"/>
      <c r="P713" s="26"/>
      <c r="Q713" s="25"/>
      <c r="S713" s="26"/>
      <c r="T713" s="25"/>
      <c r="V713" s="26"/>
      <c r="W713" s="25"/>
      <c r="Y713" s="26"/>
      <c r="Z713" s="25"/>
      <c r="AB713" s="26"/>
      <c r="BN713" s="24"/>
      <c r="BO713" s="21"/>
      <c r="BP713" s="21"/>
      <c r="BQ713" s="21"/>
      <c r="BS713" s="22"/>
      <c r="BT713" s="21"/>
      <c r="BU713" s="21"/>
      <c r="CB713" s="21"/>
      <c r="CC713" s="21"/>
      <c r="CD713" s="21"/>
      <c r="CE713" s="21"/>
      <c r="CF713" s="21"/>
      <c r="CI713" s="23"/>
      <c r="CJ713" s="21"/>
      <c r="CK713" s="21"/>
      <c r="CL713" s="21"/>
      <c r="CM713" s="21"/>
      <c r="CQ713" s="21"/>
      <c r="CR713" s="21"/>
      <c r="CS713" s="21"/>
    </row>
    <row r="714" spans="11:97" ht="15.75">
      <c r="K714" s="25"/>
      <c r="M714" s="26"/>
      <c r="N714" s="25"/>
      <c r="P714" s="26"/>
      <c r="Q714" s="25"/>
      <c r="S714" s="26"/>
      <c r="T714" s="25"/>
      <c r="V714" s="26"/>
      <c r="W714" s="25"/>
      <c r="Y714" s="26"/>
      <c r="Z714" s="25"/>
      <c r="AB714" s="26"/>
      <c r="BN714" s="24"/>
      <c r="BO714" s="21"/>
      <c r="BP714" s="21"/>
      <c r="BQ714" s="21"/>
      <c r="BS714" s="22"/>
      <c r="BT714" s="21"/>
      <c r="BU714" s="21"/>
      <c r="CB714" s="21"/>
      <c r="CC714" s="21"/>
      <c r="CD714" s="21"/>
      <c r="CE714" s="21"/>
      <c r="CF714" s="21"/>
      <c r="CI714" s="23"/>
      <c r="CJ714" s="21"/>
      <c r="CK714" s="21"/>
      <c r="CL714" s="21"/>
      <c r="CM714" s="21"/>
      <c r="CQ714" s="21"/>
      <c r="CR714" s="21"/>
      <c r="CS714" s="21"/>
    </row>
    <row r="715" spans="11:97" ht="15.75">
      <c r="K715" s="25"/>
      <c r="M715" s="26"/>
      <c r="N715" s="25"/>
      <c r="P715" s="26"/>
      <c r="Q715" s="25"/>
      <c r="S715" s="26"/>
      <c r="T715" s="25"/>
      <c r="V715" s="26"/>
      <c r="W715" s="25"/>
      <c r="Y715" s="26"/>
      <c r="Z715" s="25"/>
      <c r="AB715" s="26"/>
      <c r="BN715" s="24"/>
      <c r="BO715" s="21"/>
      <c r="BP715" s="21"/>
      <c r="BQ715" s="21"/>
      <c r="BS715" s="22"/>
      <c r="BT715" s="21"/>
      <c r="BU715" s="21"/>
      <c r="CB715" s="21"/>
      <c r="CC715" s="21"/>
      <c r="CD715" s="21"/>
      <c r="CE715" s="21"/>
      <c r="CF715" s="21"/>
      <c r="CI715" s="23"/>
      <c r="CJ715" s="21"/>
      <c r="CK715" s="21"/>
      <c r="CL715" s="21"/>
      <c r="CM715" s="21"/>
      <c r="CQ715" s="21"/>
      <c r="CR715" s="21"/>
      <c r="CS715" s="21"/>
    </row>
    <row r="716" spans="11:97" ht="15.75">
      <c r="K716" s="25"/>
      <c r="M716" s="26"/>
      <c r="N716" s="25"/>
      <c r="P716" s="26"/>
      <c r="Q716" s="25"/>
      <c r="S716" s="26"/>
      <c r="T716" s="25"/>
      <c r="V716" s="26"/>
      <c r="W716" s="25"/>
      <c r="Y716" s="26"/>
      <c r="Z716" s="25"/>
      <c r="AB716" s="26"/>
      <c r="BN716" s="24"/>
      <c r="BO716" s="21"/>
      <c r="BP716" s="21"/>
      <c r="BQ716" s="21"/>
      <c r="BS716" s="22"/>
      <c r="BT716" s="21"/>
      <c r="BU716" s="21"/>
      <c r="CB716" s="21"/>
      <c r="CC716" s="21"/>
      <c r="CD716" s="21"/>
      <c r="CE716" s="21"/>
      <c r="CF716" s="21"/>
      <c r="CI716" s="23"/>
      <c r="CJ716" s="21"/>
      <c r="CK716" s="21"/>
      <c r="CL716" s="21"/>
      <c r="CM716" s="21"/>
      <c r="CQ716" s="21"/>
      <c r="CR716" s="21"/>
      <c r="CS716" s="21"/>
    </row>
    <row r="717" spans="11:97" ht="15.75">
      <c r="K717" s="25"/>
      <c r="M717" s="26"/>
      <c r="N717" s="25"/>
      <c r="P717" s="26"/>
      <c r="Q717" s="25"/>
      <c r="S717" s="26"/>
      <c r="T717" s="25"/>
      <c r="V717" s="26"/>
      <c r="W717" s="25"/>
      <c r="Y717" s="26"/>
      <c r="Z717" s="25"/>
      <c r="AB717" s="26"/>
      <c r="BN717" s="24"/>
      <c r="BO717" s="21"/>
      <c r="BP717" s="21"/>
      <c r="BQ717" s="21"/>
      <c r="BS717" s="22"/>
      <c r="BT717" s="21"/>
      <c r="BU717" s="21"/>
      <c r="CB717" s="21"/>
      <c r="CC717" s="21"/>
      <c r="CD717" s="21"/>
      <c r="CE717" s="21"/>
      <c r="CF717" s="21"/>
      <c r="CI717" s="23"/>
      <c r="CJ717" s="21"/>
      <c r="CK717" s="21"/>
      <c r="CL717" s="21"/>
      <c r="CM717" s="21"/>
      <c r="CQ717" s="21"/>
      <c r="CR717" s="21"/>
      <c r="CS717" s="21"/>
    </row>
    <row r="718" spans="11:97" ht="15.75">
      <c r="K718" s="25"/>
      <c r="M718" s="26"/>
      <c r="N718" s="25"/>
      <c r="P718" s="26"/>
      <c r="Q718" s="25"/>
      <c r="S718" s="26"/>
      <c r="T718" s="25"/>
      <c r="V718" s="26"/>
      <c r="W718" s="25"/>
      <c r="Y718" s="26"/>
      <c r="Z718" s="25"/>
      <c r="AB718" s="26"/>
      <c r="BN718" s="24"/>
      <c r="BO718" s="21"/>
      <c r="BP718" s="21"/>
      <c r="BQ718" s="21"/>
      <c r="BS718" s="22"/>
      <c r="BT718" s="21"/>
      <c r="BU718" s="21"/>
      <c r="CB718" s="21"/>
      <c r="CC718" s="21"/>
      <c r="CD718" s="21"/>
      <c r="CE718" s="21"/>
      <c r="CF718" s="21"/>
      <c r="CI718" s="23"/>
      <c r="CJ718" s="21"/>
      <c r="CK718" s="21"/>
      <c r="CL718" s="21"/>
      <c r="CM718" s="21"/>
      <c r="CQ718" s="21"/>
      <c r="CR718" s="21"/>
      <c r="CS718" s="21"/>
    </row>
    <row r="719" spans="11:97" ht="15.75">
      <c r="K719" s="25"/>
      <c r="M719" s="26"/>
      <c r="N719" s="25"/>
      <c r="P719" s="26"/>
      <c r="Q719" s="25"/>
      <c r="S719" s="26"/>
      <c r="T719" s="25"/>
      <c r="V719" s="26"/>
      <c r="W719" s="25"/>
      <c r="Y719" s="26"/>
      <c r="Z719" s="25"/>
      <c r="AB719" s="26"/>
      <c r="BN719" s="24"/>
      <c r="BO719" s="21"/>
      <c r="BP719" s="21"/>
      <c r="BQ719" s="21"/>
      <c r="BS719" s="22"/>
      <c r="BT719" s="21"/>
      <c r="BU719" s="21"/>
      <c r="CB719" s="21"/>
      <c r="CC719" s="21"/>
      <c r="CD719" s="21"/>
      <c r="CE719" s="21"/>
      <c r="CF719" s="21"/>
      <c r="CI719" s="23"/>
      <c r="CJ719" s="21"/>
      <c r="CK719" s="21"/>
      <c r="CL719" s="21"/>
      <c r="CM719" s="21"/>
      <c r="CQ719" s="21"/>
      <c r="CR719" s="21"/>
      <c r="CS719" s="21"/>
    </row>
    <row r="720" spans="11:97" ht="15.75">
      <c r="K720" s="25"/>
      <c r="M720" s="26"/>
      <c r="N720" s="25"/>
      <c r="P720" s="26"/>
      <c r="Q720" s="25"/>
      <c r="S720" s="26"/>
      <c r="T720" s="25"/>
      <c r="V720" s="26"/>
      <c r="W720" s="25"/>
      <c r="Y720" s="26"/>
      <c r="Z720" s="25"/>
      <c r="AB720" s="26"/>
      <c r="BN720" s="24"/>
      <c r="BO720" s="21"/>
      <c r="BP720" s="21"/>
      <c r="BQ720" s="21"/>
      <c r="BS720" s="22"/>
      <c r="BT720" s="21"/>
      <c r="BU720" s="21"/>
      <c r="CB720" s="21"/>
      <c r="CC720" s="21"/>
      <c r="CD720" s="21"/>
      <c r="CE720" s="21"/>
      <c r="CF720" s="21"/>
      <c r="CI720" s="23"/>
      <c r="CJ720" s="21"/>
      <c r="CK720" s="21"/>
      <c r="CL720" s="21"/>
      <c r="CM720" s="21"/>
      <c r="CQ720" s="21"/>
      <c r="CR720" s="21"/>
      <c r="CS720" s="21"/>
    </row>
    <row r="721" spans="11:97" ht="15.75">
      <c r="K721" s="25"/>
      <c r="M721" s="26"/>
      <c r="N721" s="25"/>
      <c r="P721" s="26"/>
      <c r="Q721" s="25"/>
      <c r="S721" s="26"/>
      <c r="T721" s="25"/>
      <c r="V721" s="26"/>
      <c r="W721" s="25"/>
      <c r="Y721" s="26"/>
      <c r="Z721" s="25"/>
      <c r="AB721" s="26"/>
      <c r="BN721" s="24"/>
      <c r="BO721" s="21"/>
      <c r="BP721" s="21"/>
      <c r="BQ721" s="21"/>
      <c r="BS721" s="22"/>
      <c r="BT721" s="21"/>
      <c r="BU721" s="21"/>
      <c r="CB721" s="21"/>
      <c r="CC721" s="21"/>
      <c r="CD721" s="21"/>
      <c r="CE721" s="21"/>
      <c r="CF721" s="21"/>
      <c r="CI721" s="23"/>
      <c r="CJ721" s="21"/>
      <c r="CK721" s="21"/>
      <c r="CL721" s="21"/>
      <c r="CM721" s="21"/>
      <c r="CQ721" s="21"/>
      <c r="CR721" s="21"/>
      <c r="CS721" s="21"/>
    </row>
    <row r="722" spans="11:97" ht="15.75">
      <c r="K722" s="25"/>
      <c r="M722" s="26"/>
      <c r="N722" s="25"/>
      <c r="P722" s="26"/>
      <c r="Q722" s="25"/>
      <c r="S722" s="26"/>
      <c r="T722" s="25"/>
      <c r="V722" s="26"/>
      <c r="W722" s="25"/>
      <c r="Y722" s="26"/>
      <c r="Z722" s="25"/>
      <c r="AB722" s="26"/>
      <c r="BN722" s="24"/>
      <c r="BO722" s="21"/>
      <c r="BP722" s="21"/>
      <c r="BQ722" s="21"/>
      <c r="BS722" s="22"/>
      <c r="BT722" s="21"/>
      <c r="BU722" s="21"/>
      <c r="CB722" s="21"/>
      <c r="CC722" s="21"/>
      <c r="CD722" s="21"/>
      <c r="CE722" s="21"/>
      <c r="CF722" s="21"/>
      <c r="CI722" s="23"/>
      <c r="CJ722" s="21"/>
      <c r="CK722" s="21"/>
      <c r="CL722" s="21"/>
      <c r="CM722" s="21"/>
      <c r="CQ722" s="21"/>
      <c r="CR722" s="21"/>
      <c r="CS722" s="21"/>
    </row>
    <row r="723" spans="11:97" ht="15.75">
      <c r="K723" s="25"/>
      <c r="M723" s="26"/>
      <c r="N723" s="25"/>
      <c r="P723" s="26"/>
      <c r="Q723" s="25"/>
      <c r="S723" s="26"/>
      <c r="T723" s="25"/>
      <c r="V723" s="26"/>
      <c r="W723" s="25"/>
      <c r="Y723" s="26"/>
      <c r="Z723" s="25"/>
      <c r="AB723" s="26"/>
      <c r="BN723" s="24"/>
      <c r="BO723" s="21"/>
      <c r="BP723" s="21"/>
      <c r="BQ723" s="21"/>
      <c r="BS723" s="22"/>
      <c r="BT723" s="21"/>
      <c r="BU723" s="21"/>
      <c r="CB723" s="21"/>
      <c r="CC723" s="21"/>
      <c r="CD723" s="21"/>
      <c r="CE723" s="21"/>
      <c r="CF723" s="21"/>
      <c r="CI723" s="23"/>
      <c r="CJ723" s="21"/>
      <c r="CK723" s="21"/>
      <c r="CL723" s="21"/>
      <c r="CM723" s="21"/>
      <c r="CQ723" s="21"/>
      <c r="CR723" s="21"/>
      <c r="CS723" s="21"/>
    </row>
    <row r="724" spans="11:97" ht="15.75">
      <c r="K724" s="25"/>
      <c r="M724" s="26"/>
      <c r="N724" s="25"/>
      <c r="P724" s="26"/>
      <c r="Q724" s="25"/>
      <c r="S724" s="26"/>
      <c r="T724" s="25"/>
      <c r="V724" s="26"/>
      <c r="W724" s="25"/>
      <c r="Y724" s="26"/>
      <c r="Z724" s="25"/>
      <c r="AB724" s="26"/>
      <c r="BN724" s="24"/>
      <c r="BO724" s="21"/>
      <c r="BP724" s="21"/>
      <c r="BQ724" s="21"/>
      <c r="BS724" s="22"/>
      <c r="BT724" s="21"/>
      <c r="BU724" s="21"/>
      <c r="CB724" s="21"/>
      <c r="CC724" s="21"/>
      <c r="CD724" s="21"/>
      <c r="CE724" s="21"/>
      <c r="CF724" s="21"/>
      <c r="CI724" s="23"/>
      <c r="CJ724" s="21"/>
      <c r="CK724" s="21"/>
      <c r="CL724" s="21"/>
      <c r="CM724" s="21"/>
      <c r="CQ724" s="21"/>
      <c r="CR724" s="21"/>
      <c r="CS724" s="21"/>
    </row>
    <row r="725" spans="11:97" ht="15.75">
      <c r="K725" s="25"/>
      <c r="M725" s="26"/>
      <c r="N725" s="25"/>
      <c r="P725" s="26"/>
      <c r="Q725" s="25"/>
      <c r="S725" s="26"/>
      <c r="T725" s="25"/>
      <c r="V725" s="26"/>
      <c r="W725" s="25"/>
      <c r="Y725" s="26"/>
      <c r="Z725" s="25"/>
      <c r="AB725" s="26"/>
      <c r="BN725" s="24"/>
      <c r="BO725" s="21"/>
      <c r="BP725" s="21"/>
      <c r="BQ725" s="21"/>
      <c r="BS725" s="22"/>
      <c r="BT725" s="21"/>
      <c r="BU725" s="21"/>
      <c r="CB725" s="21"/>
      <c r="CC725" s="21"/>
      <c r="CD725" s="21"/>
      <c r="CE725" s="21"/>
      <c r="CF725" s="21"/>
      <c r="CI725" s="23"/>
      <c r="CJ725" s="21"/>
      <c r="CK725" s="21"/>
      <c r="CL725" s="21"/>
      <c r="CM725" s="21"/>
      <c r="CQ725" s="21"/>
      <c r="CR725" s="21"/>
      <c r="CS725" s="21"/>
    </row>
    <row r="726" spans="11:97" ht="15.75">
      <c r="K726" s="25"/>
      <c r="M726" s="26"/>
      <c r="N726" s="25"/>
      <c r="P726" s="26"/>
      <c r="Q726" s="25"/>
      <c r="S726" s="26"/>
      <c r="T726" s="25"/>
      <c r="V726" s="26"/>
      <c r="W726" s="25"/>
      <c r="Y726" s="26"/>
      <c r="Z726" s="25"/>
      <c r="AB726" s="26"/>
      <c r="BN726" s="24"/>
      <c r="BO726" s="21"/>
      <c r="BP726" s="21"/>
      <c r="BQ726" s="21"/>
      <c r="BS726" s="22"/>
      <c r="BT726" s="21"/>
      <c r="BU726" s="21"/>
      <c r="CB726" s="21"/>
      <c r="CC726" s="21"/>
      <c r="CD726" s="21"/>
      <c r="CE726" s="21"/>
      <c r="CF726" s="21"/>
      <c r="CI726" s="23"/>
      <c r="CJ726" s="21"/>
      <c r="CK726" s="21"/>
      <c r="CL726" s="21"/>
      <c r="CM726" s="21"/>
      <c r="CQ726" s="21"/>
      <c r="CR726" s="21"/>
      <c r="CS726" s="21"/>
    </row>
    <row r="727" spans="11:97">
      <c r="K727" s="25"/>
      <c r="M727" s="26"/>
      <c r="N727" s="25"/>
      <c r="P727" s="26"/>
      <c r="Q727" s="25"/>
      <c r="S727" s="26"/>
      <c r="T727" s="25"/>
      <c r="V727" s="26"/>
      <c r="W727" s="25"/>
      <c r="Y727" s="26"/>
      <c r="Z727" s="25"/>
      <c r="AB727" s="26"/>
    </row>
    <row r="728" spans="11:97">
      <c r="K728" s="25"/>
      <c r="M728" s="26"/>
      <c r="N728" s="25"/>
      <c r="P728" s="26"/>
      <c r="Q728" s="25"/>
      <c r="S728" s="26"/>
      <c r="T728" s="25"/>
      <c r="V728" s="26"/>
      <c r="W728" s="25"/>
      <c r="Y728" s="26"/>
      <c r="Z728" s="25"/>
      <c r="AB728" s="26"/>
    </row>
    <row r="729" spans="11:97">
      <c r="K729" s="25"/>
      <c r="M729" s="26"/>
      <c r="N729" s="25"/>
      <c r="P729" s="26"/>
      <c r="Q729" s="25"/>
      <c r="S729" s="26"/>
      <c r="T729" s="25"/>
      <c r="V729" s="26"/>
      <c r="W729" s="25"/>
      <c r="Y729" s="26"/>
      <c r="Z729" s="25"/>
      <c r="AB729" s="26"/>
    </row>
    <row r="730" spans="11:97">
      <c r="K730" s="25"/>
      <c r="M730" s="26"/>
      <c r="N730" s="25"/>
      <c r="P730" s="26"/>
      <c r="Q730" s="25"/>
      <c r="S730" s="26"/>
      <c r="T730" s="25"/>
      <c r="V730" s="26"/>
      <c r="W730" s="25"/>
      <c r="Y730" s="26"/>
      <c r="Z730" s="25"/>
      <c r="AB730" s="26"/>
    </row>
    <row r="731" spans="11:97">
      <c r="K731" s="25"/>
      <c r="M731" s="26"/>
      <c r="N731" s="25"/>
      <c r="P731" s="26"/>
      <c r="Q731" s="25"/>
      <c r="S731" s="26"/>
      <c r="T731" s="25"/>
      <c r="V731" s="26"/>
      <c r="W731" s="25"/>
      <c r="Y731" s="26"/>
      <c r="Z731" s="25"/>
      <c r="AB731" s="26"/>
    </row>
    <row r="732" spans="11:97">
      <c r="K732" s="25"/>
      <c r="M732" s="26"/>
      <c r="N732" s="25"/>
      <c r="P732" s="26"/>
      <c r="Q732" s="25"/>
      <c r="S732" s="26"/>
      <c r="T732" s="25"/>
      <c r="V732" s="26"/>
      <c r="W732" s="25"/>
      <c r="Y732" s="26"/>
      <c r="Z732" s="25"/>
      <c r="AB732" s="26"/>
    </row>
    <row r="733" spans="11:97">
      <c r="K733" s="25"/>
      <c r="M733" s="26"/>
      <c r="N733" s="25"/>
      <c r="P733" s="26"/>
      <c r="Q733" s="25"/>
      <c r="S733" s="26"/>
      <c r="T733" s="25"/>
      <c r="V733" s="26"/>
      <c r="W733" s="25"/>
      <c r="Y733" s="26"/>
      <c r="Z733" s="25"/>
      <c r="AB733" s="26"/>
    </row>
    <row r="734" spans="11:97">
      <c r="K734" s="25"/>
      <c r="M734" s="26"/>
      <c r="N734" s="25"/>
      <c r="P734" s="26"/>
      <c r="Q734" s="25"/>
      <c r="S734" s="26"/>
      <c r="T734" s="25"/>
      <c r="V734" s="26"/>
      <c r="W734" s="25"/>
      <c r="Y734" s="26"/>
      <c r="Z734" s="25"/>
      <c r="AB734" s="26"/>
    </row>
    <row r="735" spans="11:97">
      <c r="K735" s="25"/>
      <c r="M735" s="26"/>
      <c r="N735" s="25"/>
      <c r="P735" s="26"/>
      <c r="Q735" s="25"/>
      <c r="S735" s="26"/>
      <c r="T735" s="25"/>
      <c r="V735" s="26"/>
      <c r="W735" s="25"/>
      <c r="Y735" s="26"/>
      <c r="Z735" s="25"/>
      <c r="AB735" s="26"/>
    </row>
    <row r="736" spans="11:97">
      <c r="K736" s="25"/>
      <c r="M736" s="26"/>
      <c r="N736" s="25"/>
      <c r="P736" s="26"/>
      <c r="Q736" s="25"/>
      <c r="S736" s="26"/>
      <c r="T736" s="25"/>
      <c r="V736" s="26"/>
      <c r="W736" s="25"/>
      <c r="Y736" s="26"/>
      <c r="Z736" s="25"/>
      <c r="AB736" s="26"/>
    </row>
    <row r="737" spans="11:28">
      <c r="K737" s="25"/>
      <c r="M737" s="26"/>
      <c r="N737" s="25"/>
      <c r="P737" s="26"/>
      <c r="Q737" s="25"/>
      <c r="S737" s="26"/>
      <c r="T737" s="25"/>
      <c r="V737" s="26"/>
      <c r="W737" s="25"/>
      <c r="Y737" s="26"/>
      <c r="Z737" s="25"/>
      <c r="AB737" s="26"/>
    </row>
    <row r="738" spans="11:28">
      <c r="K738" s="25"/>
      <c r="M738" s="26"/>
      <c r="N738" s="25"/>
      <c r="P738" s="26"/>
      <c r="Q738" s="25"/>
      <c r="S738" s="26"/>
      <c r="T738" s="25"/>
      <c r="V738" s="26"/>
      <c r="W738" s="25"/>
      <c r="Y738" s="26"/>
      <c r="Z738" s="25"/>
      <c r="AB738" s="26"/>
    </row>
    <row r="739" spans="11:28">
      <c r="K739" s="25"/>
      <c r="M739" s="26"/>
      <c r="N739" s="25"/>
      <c r="P739" s="26"/>
      <c r="Q739" s="25"/>
      <c r="S739" s="26"/>
      <c r="T739" s="25"/>
      <c r="V739" s="26"/>
      <c r="W739" s="25"/>
      <c r="Y739" s="26"/>
      <c r="Z739" s="25"/>
      <c r="AB739" s="26"/>
    </row>
    <row r="740" spans="11:28">
      <c r="K740" s="25"/>
      <c r="M740" s="26"/>
      <c r="N740" s="25"/>
      <c r="P740" s="26"/>
      <c r="Q740" s="25"/>
      <c r="S740" s="26"/>
      <c r="T740" s="25"/>
      <c r="V740" s="26"/>
      <c r="W740" s="25"/>
      <c r="Y740" s="26"/>
      <c r="Z740" s="25"/>
      <c r="AB740" s="26"/>
    </row>
    <row r="741" spans="11:28">
      <c r="K741" s="25"/>
      <c r="M741" s="26"/>
      <c r="N741" s="25"/>
      <c r="P741" s="26"/>
      <c r="Q741" s="25"/>
      <c r="S741" s="26"/>
      <c r="T741" s="25"/>
      <c r="V741" s="26"/>
      <c r="W741" s="25"/>
      <c r="Y741" s="26"/>
      <c r="Z741" s="25"/>
      <c r="AB741" s="26"/>
    </row>
    <row r="742" spans="11:28">
      <c r="K742" s="25"/>
      <c r="M742" s="26"/>
      <c r="N742" s="25"/>
      <c r="P742" s="26"/>
      <c r="Q742" s="25"/>
      <c r="S742" s="26"/>
      <c r="T742" s="25"/>
      <c r="V742" s="26"/>
      <c r="W742" s="25"/>
      <c r="Y742" s="26"/>
      <c r="Z742" s="25"/>
      <c r="AB742" s="26"/>
    </row>
    <row r="743" spans="11:28">
      <c r="K743" s="25"/>
      <c r="M743" s="26"/>
      <c r="N743" s="25"/>
      <c r="P743" s="26"/>
      <c r="Q743" s="25"/>
      <c r="S743" s="26"/>
      <c r="T743" s="25"/>
      <c r="V743" s="26"/>
      <c r="W743" s="25"/>
      <c r="Y743" s="26"/>
      <c r="Z743" s="25"/>
      <c r="AB743" s="26"/>
    </row>
    <row r="744" spans="11:28">
      <c r="K744" s="25"/>
      <c r="M744" s="26"/>
      <c r="N744" s="25"/>
      <c r="P744" s="26"/>
      <c r="Q744" s="25"/>
      <c r="S744" s="26"/>
      <c r="T744" s="25"/>
      <c r="V744" s="26"/>
      <c r="W744" s="25"/>
      <c r="Y744" s="26"/>
      <c r="Z744" s="25"/>
      <c r="AB744" s="26"/>
    </row>
    <row r="745" spans="11:28">
      <c r="K745" s="25"/>
      <c r="M745" s="26"/>
      <c r="N745" s="25"/>
      <c r="P745" s="26"/>
      <c r="Q745" s="25"/>
      <c r="S745" s="26"/>
      <c r="T745" s="25"/>
      <c r="V745" s="26"/>
      <c r="W745" s="25"/>
      <c r="Y745" s="26"/>
      <c r="Z745" s="25"/>
      <c r="AB745" s="26"/>
    </row>
    <row r="746" spans="11:28">
      <c r="K746" s="25"/>
      <c r="M746" s="26"/>
      <c r="N746" s="25"/>
      <c r="P746" s="26"/>
      <c r="Q746" s="25"/>
      <c r="S746" s="26"/>
      <c r="T746" s="25"/>
      <c r="V746" s="26"/>
      <c r="W746" s="25"/>
      <c r="Y746" s="26"/>
      <c r="Z746" s="25"/>
      <c r="AB746" s="26"/>
    </row>
    <row r="747" spans="11:28">
      <c r="K747" s="25"/>
      <c r="M747" s="26"/>
      <c r="N747" s="25"/>
      <c r="P747" s="26"/>
      <c r="Q747" s="25"/>
      <c r="S747" s="26"/>
      <c r="T747" s="25"/>
      <c r="V747" s="26"/>
      <c r="W747" s="25"/>
      <c r="Y747" s="26"/>
      <c r="Z747" s="25"/>
      <c r="AB747" s="26"/>
    </row>
    <row r="748" spans="11:28">
      <c r="K748" s="25"/>
      <c r="M748" s="26"/>
      <c r="N748" s="25"/>
      <c r="P748" s="26"/>
      <c r="Q748" s="25"/>
      <c r="S748" s="26"/>
      <c r="T748" s="25"/>
      <c r="V748" s="26"/>
      <c r="W748" s="25"/>
      <c r="Y748" s="26"/>
      <c r="Z748" s="25"/>
      <c r="AB748" s="26"/>
    </row>
    <row r="749" spans="11:28">
      <c r="K749" s="25"/>
      <c r="M749" s="26"/>
      <c r="N749" s="25"/>
      <c r="P749" s="26"/>
      <c r="Q749" s="25"/>
      <c r="S749" s="26"/>
      <c r="T749" s="25"/>
      <c r="V749" s="26"/>
      <c r="W749" s="25"/>
      <c r="Y749" s="26"/>
      <c r="Z749" s="25"/>
      <c r="AB749" s="26"/>
    </row>
    <row r="750" spans="11:28">
      <c r="K750" s="25"/>
      <c r="M750" s="26"/>
      <c r="N750" s="25"/>
      <c r="P750" s="26"/>
      <c r="Q750" s="25"/>
      <c r="S750" s="26"/>
      <c r="T750" s="25"/>
      <c r="V750" s="26"/>
      <c r="W750" s="25"/>
      <c r="Y750" s="26"/>
      <c r="Z750" s="25"/>
      <c r="AB750" s="26"/>
    </row>
    <row r="751" spans="11:28">
      <c r="K751" s="25"/>
      <c r="M751" s="26"/>
      <c r="N751" s="25"/>
      <c r="P751" s="26"/>
      <c r="Q751" s="25"/>
      <c r="S751" s="26"/>
      <c r="T751" s="25"/>
      <c r="V751" s="26"/>
      <c r="W751" s="25"/>
      <c r="Y751" s="26"/>
      <c r="Z751" s="25"/>
      <c r="AB751" s="26"/>
    </row>
    <row r="752" spans="11:28">
      <c r="K752" s="25"/>
      <c r="M752" s="26"/>
      <c r="N752" s="25"/>
      <c r="P752" s="26"/>
      <c r="Q752" s="25"/>
      <c r="S752" s="26"/>
      <c r="T752" s="25"/>
      <c r="V752" s="26"/>
      <c r="W752" s="25"/>
      <c r="Y752" s="26"/>
      <c r="Z752" s="25"/>
      <c r="AB752" s="26"/>
    </row>
    <row r="753" spans="11:28">
      <c r="K753" s="25"/>
      <c r="M753" s="26"/>
      <c r="N753" s="25"/>
      <c r="P753" s="26"/>
      <c r="Q753" s="25"/>
      <c r="S753" s="26"/>
      <c r="T753" s="25"/>
      <c r="V753" s="26"/>
      <c r="W753" s="25"/>
      <c r="Y753" s="26"/>
      <c r="Z753" s="25"/>
      <c r="AB753" s="26"/>
    </row>
    <row r="754" spans="11:28">
      <c r="K754" s="25"/>
      <c r="M754" s="26"/>
      <c r="N754" s="25"/>
      <c r="P754" s="26"/>
      <c r="Q754" s="25"/>
      <c r="S754" s="26"/>
      <c r="T754" s="25"/>
      <c r="V754" s="26"/>
      <c r="W754" s="25"/>
      <c r="Y754" s="26"/>
      <c r="Z754" s="25"/>
      <c r="AB754" s="26"/>
    </row>
    <row r="755" spans="11:28">
      <c r="K755" s="25"/>
      <c r="M755" s="26"/>
      <c r="N755" s="25"/>
      <c r="P755" s="26"/>
      <c r="Q755" s="25"/>
      <c r="S755" s="26"/>
      <c r="T755" s="25"/>
      <c r="V755" s="26"/>
      <c r="W755" s="25"/>
      <c r="Y755" s="26"/>
      <c r="Z755" s="25"/>
      <c r="AB755" s="26"/>
    </row>
    <row r="756" spans="11:28">
      <c r="K756" s="25"/>
      <c r="M756" s="26"/>
      <c r="N756" s="25"/>
      <c r="P756" s="26"/>
      <c r="Q756" s="25"/>
      <c r="S756" s="26"/>
      <c r="T756" s="25"/>
      <c r="V756" s="26"/>
      <c r="W756" s="25"/>
      <c r="Y756" s="26"/>
      <c r="Z756" s="25"/>
      <c r="AB756" s="26"/>
    </row>
    <row r="757" spans="11:28">
      <c r="K757" s="25"/>
      <c r="M757" s="26"/>
      <c r="N757" s="25"/>
      <c r="P757" s="26"/>
      <c r="Q757" s="25"/>
      <c r="S757" s="26"/>
      <c r="T757" s="25"/>
      <c r="V757" s="26"/>
      <c r="W757" s="25"/>
      <c r="Y757" s="26"/>
      <c r="Z757" s="25"/>
      <c r="AB757" s="26"/>
    </row>
    <row r="758" spans="11:28">
      <c r="K758" s="25"/>
      <c r="M758" s="26"/>
      <c r="N758" s="25"/>
      <c r="P758" s="26"/>
      <c r="Q758" s="25"/>
      <c r="S758" s="26"/>
      <c r="T758" s="25"/>
      <c r="V758" s="26"/>
      <c r="W758" s="25"/>
      <c r="Y758" s="26"/>
      <c r="Z758" s="25"/>
      <c r="AB758" s="26"/>
    </row>
    <row r="759" spans="11:28">
      <c r="K759" s="25"/>
      <c r="M759" s="26"/>
      <c r="N759" s="25"/>
      <c r="P759" s="26"/>
      <c r="Q759" s="25"/>
      <c r="S759" s="26"/>
      <c r="T759" s="25"/>
      <c r="V759" s="26"/>
      <c r="W759" s="25"/>
      <c r="Y759" s="26"/>
      <c r="Z759" s="25"/>
      <c r="AB759" s="26"/>
    </row>
    <row r="760" spans="11:28">
      <c r="K760" s="25"/>
      <c r="M760" s="26"/>
      <c r="N760" s="25"/>
      <c r="P760" s="26"/>
      <c r="Q760" s="25"/>
      <c r="S760" s="26"/>
      <c r="T760" s="25"/>
      <c r="V760" s="26"/>
      <c r="W760" s="25"/>
      <c r="Y760" s="26"/>
      <c r="Z760" s="25"/>
      <c r="AB760" s="26"/>
    </row>
    <row r="761" spans="11:28">
      <c r="K761" s="25"/>
      <c r="M761" s="26"/>
      <c r="N761" s="25"/>
      <c r="P761" s="26"/>
      <c r="Q761" s="25"/>
      <c r="S761" s="26"/>
      <c r="T761" s="25"/>
      <c r="V761" s="26"/>
      <c r="W761" s="25"/>
      <c r="Y761" s="26"/>
      <c r="Z761" s="25"/>
      <c r="AB761" s="26"/>
    </row>
    <row r="762" spans="11:28">
      <c r="K762" s="25"/>
      <c r="M762" s="26"/>
      <c r="N762" s="25"/>
      <c r="P762" s="26"/>
      <c r="Q762" s="25"/>
      <c r="S762" s="26"/>
      <c r="T762" s="25"/>
      <c r="V762" s="26"/>
      <c r="W762" s="25"/>
      <c r="Y762" s="26"/>
      <c r="Z762" s="25"/>
      <c r="AB762" s="26"/>
    </row>
    <row r="763" spans="11:28">
      <c r="K763" s="25"/>
      <c r="M763" s="26"/>
      <c r="N763" s="25"/>
      <c r="P763" s="26"/>
      <c r="Q763" s="25"/>
      <c r="S763" s="26"/>
      <c r="T763" s="25"/>
      <c r="V763" s="26"/>
      <c r="W763" s="25"/>
      <c r="Y763" s="26"/>
      <c r="Z763" s="25"/>
      <c r="AB763" s="26"/>
    </row>
    <row r="764" spans="11:28">
      <c r="K764" s="25"/>
      <c r="M764" s="26"/>
      <c r="N764" s="25"/>
      <c r="P764" s="26"/>
      <c r="Q764" s="25"/>
      <c r="S764" s="26"/>
      <c r="T764" s="25"/>
      <c r="V764" s="26"/>
      <c r="W764" s="25"/>
      <c r="Y764" s="26"/>
      <c r="Z764" s="25"/>
      <c r="AB764" s="26"/>
    </row>
    <row r="765" spans="11:28">
      <c r="K765" s="25"/>
      <c r="M765" s="26"/>
      <c r="N765" s="25"/>
      <c r="P765" s="26"/>
      <c r="Q765" s="25"/>
      <c r="S765" s="26"/>
      <c r="T765" s="25"/>
      <c r="V765" s="26"/>
      <c r="W765" s="25"/>
      <c r="Y765" s="26"/>
      <c r="Z765" s="25"/>
      <c r="AB765" s="26"/>
    </row>
    <row r="766" spans="11:28">
      <c r="K766" s="25"/>
      <c r="M766" s="26"/>
      <c r="N766" s="25"/>
      <c r="P766" s="26"/>
      <c r="Q766" s="25"/>
      <c r="S766" s="26"/>
      <c r="T766" s="25"/>
      <c r="V766" s="26"/>
      <c r="W766" s="25"/>
      <c r="Y766" s="26"/>
      <c r="Z766" s="25"/>
      <c r="AB766" s="26"/>
    </row>
    <row r="767" spans="11:28">
      <c r="K767" s="25"/>
      <c r="M767" s="26"/>
      <c r="N767" s="25"/>
      <c r="P767" s="26"/>
      <c r="Q767" s="25"/>
      <c r="S767" s="26"/>
      <c r="T767" s="25"/>
      <c r="V767" s="26"/>
      <c r="W767" s="25"/>
      <c r="Y767" s="26"/>
      <c r="Z767" s="25"/>
      <c r="AB767" s="26"/>
    </row>
    <row r="768" spans="11:28">
      <c r="K768" s="25"/>
      <c r="M768" s="26"/>
      <c r="N768" s="25"/>
      <c r="P768" s="26"/>
      <c r="Q768" s="25"/>
      <c r="S768" s="26"/>
      <c r="T768" s="25"/>
      <c r="V768" s="26"/>
      <c r="W768" s="25"/>
      <c r="Y768" s="26"/>
      <c r="Z768" s="25"/>
      <c r="AB768" s="26"/>
    </row>
    <row r="769" spans="11:28">
      <c r="K769" s="25"/>
      <c r="M769" s="26"/>
      <c r="N769" s="25"/>
      <c r="P769" s="26"/>
      <c r="Q769" s="25"/>
      <c r="S769" s="26"/>
      <c r="T769" s="25"/>
      <c r="V769" s="26"/>
      <c r="W769" s="25"/>
      <c r="Y769" s="26"/>
      <c r="Z769" s="25"/>
      <c r="AB769" s="26"/>
    </row>
    <row r="770" spans="11:28">
      <c r="K770" s="25"/>
      <c r="M770" s="26"/>
      <c r="N770" s="25"/>
      <c r="P770" s="26"/>
      <c r="Q770" s="25"/>
      <c r="S770" s="26"/>
      <c r="T770" s="25"/>
      <c r="V770" s="26"/>
      <c r="W770" s="25"/>
      <c r="Y770" s="26"/>
      <c r="Z770" s="25"/>
      <c r="AB770" s="26"/>
    </row>
    <row r="771" spans="11:28">
      <c r="K771" s="25"/>
      <c r="M771" s="26"/>
      <c r="N771" s="25"/>
      <c r="P771" s="26"/>
      <c r="Q771" s="25"/>
      <c r="S771" s="26"/>
      <c r="T771" s="25"/>
      <c r="V771" s="26"/>
      <c r="W771" s="25"/>
      <c r="Y771" s="26"/>
      <c r="Z771" s="25"/>
      <c r="AB771" s="26"/>
    </row>
    <row r="772" spans="11:28">
      <c r="K772" s="25"/>
      <c r="M772" s="26"/>
      <c r="N772" s="25"/>
      <c r="P772" s="26"/>
      <c r="Q772" s="25"/>
      <c r="S772" s="26"/>
      <c r="T772" s="25"/>
      <c r="V772" s="26"/>
      <c r="W772" s="25"/>
      <c r="Y772" s="26"/>
      <c r="Z772" s="25"/>
      <c r="AB772" s="26"/>
    </row>
    <row r="773" spans="11:28">
      <c r="K773" s="25"/>
      <c r="M773" s="26"/>
      <c r="N773" s="25"/>
      <c r="P773" s="26"/>
      <c r="Q773" s="25"/>
      <c r="S773" s="26"/>
      <c r="T773" s="25"/>
      <c r="V773" s="26"/>
      <c r="W773" s="25"/>
      <c r="Y773" s="26"/>
      <c r="Z773" s="25"/>
      <c r="AB773" s="26"/>
    </row>
    <row r="774" spans="11:28">
      <c r="K774" s="25"/>
      <c r="M774" s="26"/>
      <c r="N774" s="25"/>
      <c r="P774" s="26"/>
      <c r="Q774" s="25"/>
      <c r="S774" s="26"/>
      <c r="T774" s="25"/>
      <c r="V774" s="26"/>
      <c r="W774" s="25"/>
      <c r="Y774" s="26"/>
      <c r="Z774" s="25"/>
      <c r="AB774" s="26"/>
    </row>
    <row r="775" spans="11:28">
      <c r="K775" s="25"/>
      <c r="M775" s="26"/>
      <c r="N775" s="25"/>
      <c r="P775" s="26"/>
      <c r="Q775" s="25"/>
      <c r="S775" s="26"/>
      <c r="T775" s="25"/>
      <c r="V775" s="26"/>
      <c r="W775" s="25"/>
      <c r="Y775" s="26"/>
      <c r="Z775" s="25"/>
      <c r="AB775" s="26"/>
    </row>
    <row r="776" spans="11:28">
      <c r="K776" s="25"/>
      <c r="M776" s="26"/>
      <c r="N776" s="25"/>
      <c r="P776" s="26"/>
      <c r="Q776" s="25"/>
      <c r="S776" s="26"/>
      <c r="T776" s="25"/>
      <c r="V776" s="26"/>
      <c r="W776" s="25"/>
      <c r="Y776" s="26"/>
      <c r="Z776" s="25"/>
      <c r="AB776" s="26"/>
    </row>
    <row r="777" spans="11:28">
      <c r="K777" s="25"/>
      <c r="M777" s="26"/>
      <c r="N777" s="25"/>
      <c r="P777" s="26"/>
      <c r="Q777" s="25"/>
      <c r="S777" s="26"/>
      <c r="T777" s="25"/>
      <c r="V777" s="26"/>
      <c r="W777" s="25"/>
      <c r="Y777" s="26"/>
      <c r="Z777" s="25"/>
      <c r="AB777" s="26"/>
    </row>
    <row r="778" spans="11:28">
      <c r="K778" s="25"/>
      <c r="M778" s="26"/>
      <c r="N778" s="25"/>
      <c r="P778" s="26"/>
      <c r="Q778" s="25"/>
      <c r="S778" s="26"/>
      <c r="T778" s="25"/>
      <c r="V778" s="26"/>
      <c r="W778" s="25"/>
      <c r="Y778" s="26"/>
      <c r="Z778" s="25"/>
      <c r="AB778" s="26"/>
    </row>
    <row r="779" spans="11:28">
      <c r="K779" s="25"/>
      <c r="M779" s="26"/>
      <c r="N779" s="25"/>
      <c r="P779" s="26"/>
      <c r="Q779" s="25"/>
      <c r="S779" s="26"/>
      <c r="T779" s="25"/>
      <c r="V779" s="26"/>
      <c r="W779" s="25"/>
      <c r="Y779" s="26"/>
      <c r="Z779" s="25"/>
      <c r="AB779" s="26"/>
    </row>
    <row r="780" spans="11:28">
      <c r="K780" s="25"/>
      <c r="M780" s="26"/>
      <c r="N780" s="25"/>
      <c r="P780" s="26"/>
      <c r="Q780" s="25"/>
      <c r="S780" s="26"/>
      <c r="T780" s="25"/>
      <c r="V780" s="26"/>
      <c r="W780" s="25"/>
      <c r="Y780" s="26"/>
      <c r="Z780" s="25"/>
      <c r="AB780" s="26"/>
    </row>
    <row r="781" spans="11:28">
      <c r="K781" s="25"/>
      <c r="M781" s="26"/>
      <c r="N781" s="25"/>
      <c r="P781" s="26"/>
      <c r="Q781" s="25"/>
      <c r="S781" s="26"/>
      <c r="T781" s="25"/>
      <c r="V781" s="26"/>
      <c r="W781" s="25"/>
      <c r="Y781" s="26"/>
      <c r="Z781" s="25"/>
      <c r="AB781" s="26"/>
    </row>
    <row r="782" spans="11:28">
      <c r="K782" s="25"/>
      <c r="M782" s="26"/>
      <c r="N782" s="25"/>
      <c r="P782" s="26"/>
      <c r="Q782" s="25"/>
      <c r="S782" s="26"/>
      <c r="T782" s="25"/>
      <c r="V782" s="26"/>
      <c r="W782" s="25"/>
      <c r="Y782" s="26"/>
      <c r="Z782" s="25"/>
      <c r="AB782" s="26"/>
    </row>
    <row r="783" spans="11:28">
      <c r="K783" s="25"/>
      <c r="M783" s="26"/>
      <c r="N783" s="25"/>
      <c r="P783" s="26"/>
      <c r="Q783" s="25"/>
      <c r="S783" s="26"/>
      <c r="T783" s="25"/>
      <c r="V783" s="26"/>
      <c r="W783" s="25"/>
      <c r="Y783" s="26"/>
      <c r="Z783" s="25"/>
      <c r="AB783" s="26"/>
    </row>
    <row r="784" spans="11:28">
      <c r="K784" s="25"/>
      <c r="M784" s="26"/>
      <c r="N784" s="25"/>
      <c r="P784" s="26"/>
      <c r="Q784" s="25"/>
      <c r="S784" s="26"/>
      <c r="T784" s="25"/>
      <c r="V784" s="26"/>
      <c r="W784" s="25"/>
      <c r="Y784" s="26"/>
      <c r="Z784" s="25"/>
      <c r="AB784" s="26"/>
    </row>
    <row r="785" spans="11:28">
      <c r="K785" s="25"/>
      <c r="M785" s="26"/>
      <c r="N785" s="25"/>
      <c r="P785" s="26"/>
      <c r="Q785" s="25"/>
      <c r="S785" s="26"/>
      <c r="T785" s="25"/>
      <c r="V785" s="26"/>
      <c r="W785" s="25"/>
      <c r="Y785" s="26"/>
      <c r="Z785" s="25"/>
      <c r="AB785" s="26"/>
    </row>
    <row r="786" spans="11:28">
      <c r="K786" s="25"/>
      <c r="M786" s="26"/>
      <c r="N786" s="25"/>
      <c r="P786" s="26"/>
      <c r="Q786" s="25"/>
      <c r="S786" s="26"/>
      <c r="T786" s="25"/>
      <c r="V786" s="26"/>
      <c r="W786" s="25"/>
      <c r="Y786" s="26"/>
      <c r="Z786" s="25"/>
      <c r="AB786" s="26"/>
    </row>
    <row r="787" spans="11:28">
      <c r="K787" s="25"/>
      <c r="M787" s="26"/>
      <c r="N787" s="25"/>
      <c r="P787" s="26"/>
      <c r="Q787" s="25"/>
      <c r="S787" s="26"/>
      <c r="T787" s="25"/>
      <c r="V787" s="26"/>
      <c r="W787" s="25"/>
      <c r="Y787" s="26"/>
      <c r="Z787" s="25"/>
      <c r="AB787" s="26"/>
    </row>
    <row r="788" spans="11:28">
      <c r="K788" s="25"/>
      <c r="M788" s="26"/>
      <c r="N788" s="25"/>
      <c r="P788" s="26"/>
      <c r="Q788" s="25"/>
      <c r="S788" s="26"/>
      <c r="T788" s="25"/>
      <c r="V788" s="26"/>
      <c r="W788" s="25"/>
      <c r="Y788" s="26"/>
      <c r="Z788" s="25"/>
      <c r="AB788" s="26"/>
    </row>
    <row r="789" spans="11:28">
      <c r="K789" s="25"/>
      <c r="M789" s="26"/>
      <c r="N789" s="25"/>
      <c r="P789" s="26"/>
      <c r="Q789" s="25"/>
      <c r="S789" s="26"/>
      <c r="T789" s="25"/>
      <c r="V789" s="26"/>
      <c r="W789" s="25"/>
      <c r="Y789" s="26"/>
      <c r="Z789" s="25"/>
      <c r="AB789" s="26"/>
    </row>
    <row r="790" spans="11:28">
      <c r="K790" s="25"/>
      <c r="M790" s="26"/>
      <c r="N790" s="25"/>
      <c r="P790" s="26"/>
      <c r="Q790" s="25"/>
      <c r="S790" s="26"/>
      <c r="T790" s="25"/>
      <c r="V790" s="26"/>
      <c r="W790" s="25"/>
      <c r="Y790" s="26"/>
      <c r="Z790" s="25"/>
      <c r="AB790" s="26"/>
    </row>
    <row r="791" spans="11:28">
      <c r="K791" s="25"/>
      <c r="M791" s="26"/>
      <c r="N791" s="25"/>
      <c r="P791" s="26"/>
      <c r="Q791" s="25"/>
      <c r="S791" s="26"/>
      <c r="T791" s="25"/>
      <c r="V791" s="26"/>
      <c r="W791" s="25"/>
      <c r="Y791" s="26"/>
      <c r="Z791" s="25"/>
      <c r="AB791" s="26"/>
    </row>
    <row r="792" spans="11:28">
      <c r="K792" s="25"/>
      <c r="M792" s="26"/>
      <c r="N792" s="25"/>
      <c r="P792" s="26"/>
      <c r="Q792" s="25"/>
      <c r="S792" s="26"/>
      <c r="T792" s="25"/>
      <c r="V792" s="26"/>
      <c r="W792" s="25"/>
      <c r="Y792" s="26"/>
      <c r="Z792" s="25"/>
      <c r="AB792" s="26"/>
    </row>
    <row r="793" spans="11:28">
      <c r="K793" s="25"/>
      <c r="M793" s="26"/>
      <c r="N793" s="25"/>
      <c r="P793" s="26"/>
      <c r="Q793" s="25"/>
      <c r="S793" s="26"/>
      <c r="T793" s="25"/>
      <c r="V793" s="26"/>
      <c r="W793" s="25"/>
      <c r="Y793" s="26"/>
      <c r="Z793" s="25"/>
      <c r="AB793" s="26"/>
    </row>
    <row r="794" spans="11:28">
      <c r="K794" s="25"/>
      <c r="M794" s="26"/>
      <c r="N794" s="25"/>
      <c r="P794" s="26"/>
      <c r="Q794" s="25"/>
      <c r="S794" s="26"/>
      <c r="T794" s="25"/>
      <c r="V794" s="26"/>
      <c r="W794" s="25"/>
      <c r="Y794" s="26"/>
      <c r="Z794" s="25"/>
      <c r="AB794" s="26"/>
    </row>
    <row r="795" spans="11:28">
      <c r="K795" s="25"/>
      <c r="M795" s="26"/>
      <c r="N795" s="25"/>
      <c r="P795" s="26"/>
      <c r="Q795" s="25"/>
      <c r="S795" s="26"/>
      <c r="T795" s="25"/>
      <c r="V795" s="26"/>
      <c r="W795" s="25"/>
      <c r="Y795" s="26"/>
      <c r="Z795" s="25"/>
      <c r="AB795" s="26"/>
    </row>
    <row r="796" spans="11:28">
      <c r="K796" s="25"/>
      <c r="M796" s="26"/>
      <c r="N796" s="25"/>
      <c r="P796" s="26"/>
      <c r="Q796" s="25"/>
      <c r="S796" s="26"/>
      <c r="T796" s="25"/>
      <c r="V796" s="26"/>
      <c r="W796" s="25"/>
      <c r="Y796" s="26"/>
      <c r="Z796" s="25"/>
      <c r="AB796" s="26"/>
    </row>
    <row r="797" spans="11:28">
      <c r="K797" s="25"/>
      <c r="M797" s="26"/>
      <c r="N797" s="25"/>
      <c r="P797" s="26"/>
      <c r="Q797" s="25"/>
      <c r="S797" s="26"/>
      <c r="T797" s="25"/>
      <c r="V797" s="26"/>
      <c r="W797" s="25"/>
      <c r="Y797" s="26"/>
      <c r="Z797" s="25"/>
      <c r="AB797" s="26"/>
    </row>
    <row r="798" spans="11:28">
      <c r="K798" s="25"/>
      <c r="M798" s="26"/>
      <c r="N798" s="25"/>
      <c r="P798" s="26"/>
      <c r="Q798" s="25"/>
      <c r="S798" s="26"/>
      <c r="T798" s="25"/>
      <c r="V798" s="26"/>
      <c r="W798" s="25"/>
      <c r="Y798" s="26"/>
      <c r="Z798" s="25"/>
      <c r="AB798" s="26"/>
    </row>
    <row r="799" spans="11:28">
      <c r="K799" s="25"/>
      <c r="M799" s="26"/>
      <c r="N799" s="25"/>
      <c r="P799" s="26"/>
      <c r="Q799" s="25"/>
      <c r="S799" s="26"/>
      <c r="T799" s="25"/>
      <c r="V799" s="26"/>
      <c r="W799" s="25"/>
      <c r="Y799" s="26"/>
      <c r="Z799" s="25"/>
      <c r="AB799" s="26"/>
    </row>
    <row r="800" spans="11:28">
      <c r="K800" s="25"/>
      <c r="M800" s="26"/>
      <c r="N800" s="25"/>
      <c r="P800" s="26"/>
      <c r="Q800" s="25"/>
      <c r="S800" s="26"/>
      <c r="T800" s="25"/>
      <c r="V800" s="26"/>
      <c r="W800" s="25"/>
      <c r="Y800" s="26"/>
      <c r="Z800" s="25"/>
      <c r="AB800" s="26"/>
    </row>
    <row r="801" spans="11:28">
      <c r="K801" s="25"/>
      <c r="M801" s="26"/>
      <c r="N801" s="25"/>
      <c r="P801" s="26"/>
      <c r="Q801" s="25"/>
      <c r="S801" s="26"/>
      <c r="T801" s="25"/>
      <c r="V801" s="26"/>
      <c r="W801" s="25"/>
      <c r="Y801" s="26"/>
      <c r="Z801" s="25"/>
      <c r="AB801" s="26"/>
    </row>
    <row r="802" spans="11:28">
      <c r="K802" s="25"/>
      <c r="M802" s="26"/>
      <c r="N802" s="25"/>
      <c r="P802" s="26"/>
      <c r="Q802" s="25"/>
      <c r="S802" s="26"/>
      <c r="T802" s="25"/>
      <c r="V802" s="26"/>
      <c r="W802" s="25"/>
      <c r="Y802" s="26"/>
      <c r="Z802" s="25"/>
      <c r="AB802" s="26"/>
    </row>
    <row r="803" spans="11:28">
      <c r="K803" s="25"/>
      <c r="M803" s="26"/>
      <c r="N803" s="25"/>
      <c r="P803" s="26"/>
      <c r="Q803" s="25"/>
      <c r="S803" s="26"/>
      <c r="T803" s="25"/>
      <c r="V803" s="26"/>
      <c r="W803" s="25"/>
      <c r="Y803" s="26"/>
      <c r="Z803" s="25"/>
      <c r="AB803" s="26"/>
    </row>
    <row r="804" spans="11:28">
      <c r="K804" s="25"/>
      <c r="M804" s="26"/>
      <c r="N804" s="25"/>
      <c r="P804" s="26"/>
      <c r="Q804" s="25"/>
      <c r="S804" s="26"/>
      <c r="T804" s="25"/>
      <c r="V804" s="26"/>
      <c r="W804" s="25"/>
      <c r="Y804" s="26"/>
      <c r="Z804" s="25"/>
      <c r="AB804" s="26"/>
    </row>
    <row r="805" spans="11:28">
      <c r="K805" s="25"/>
      <c r="M805" s="26"/>
      <c r="N805" s="25"/>
      <c r="P805" s="26"/>
      <c r="Q805" s="25"/>
      <c r="S805" s="26"/>
      <c r="T805" s="25"/>
      <c r="V805" s="26"/>
      <c r="W805" s="25"/>
      <c r="Y805" s="26"/>
      <c r="Z805" s="25"/>
      <c r="AB805" s="26"/>
    </row>
    <row r="806" spans="11:28">
      <c r="K806" s="25"/>
      <c r="M806" s="26"/>
      <c r="N806" s="25"/>
      <c r="P806" s="26"/>
      <c r="Q806" s="25"/>
      <c r="S806" s="26"/>
      <c r="T806" s="25"/>
      <c r="V806" s="26"/>
      <c r="W806" s="25"/>
      <c r="Y806" s="26"/>
      <c r="Z806" s="25"/>
      <c r="AB806" s="26"/>
    </row>
    <row r="807" spans="11:28">
      <c r="K807" s="25"/>
      <c r="M807" s="26"/>
      <c r="N807" s="25"/>
      <c r="P807" s="26"/>
      <c r="Q807" s="25"/>
      <c r="S807" s="26"/>
      <c r="T807" s="25"/>
      <c r="V807" s="26"/>
      <c r="W807" s="25"/>
      <c r="Y807" s="26"/>
      <c r="Z807" s="25"/>
      <c r="AB807" s="26"/>
    </row>
    <row r="808" spans="11:28">
      <c r="K808" s="25"/>
      <c r="M808" s="26"/>
      <c r="N808" s="25"/>
      <c r="P808" s="26"/>
      <c r="Q808" s="25"/>
      <c r="S808" s="26"/>
      <c r="T808" s="25"/>
      <c r="V808" s="26"/>
      <c r="W808" s="25"/>
      <c r="Y808" s="26"/>
      <c r="Z808" s="25"/>
      <c r="AB808" s="26"/>
    </row>
    <row r="809" spans="11:28">
      <c r="K809" s="25"/>
      <c r="M809" s="26"/>
      <c r="N809" s="25"/>
      <c r="P809" s="26"/>
      <c r="Q809" s="25"/>
      <c r="S809" s="26"/>
      <c r="T809" s="25"/>
      <c r="V809" s="26"/>
      <c r="W809" s="25"/>
      <c r="Y809" s="26"/>
      <c r="Z809" s="25"/>
      <c r="AB809" s="26"/>
    </row>
    <row r="810" spans="11:28">
      <c r="K810" s="25"/>
      <c r="M810" s="26"/>
      <c r="N810" s="25"/>
      <c r="P810" s="26"/>
      <c r="Q810" s="25"/>
      <c r="S810" s="26"/>
      <c r="T810" s="25"/>
      <c r="V810" s="26"/>
      <c r="W810" s="25"/>
      <c r="Y810" s="26"/>
      <c r="Z810" s="25"/>
      <c r="AB810" s="26"/>
    </row>
    <row r="811" spans="11:28">
      <c r="K811" s="25"/>
      <c r="M811" s="26"/>
      <c r="N811" s="25"/>
      <c r="P811" s="26"/>
      <c r="Q811" s="25"/>
      <c r="S811" s="26"/>
      <c r="T811" s="25"/>
      <c r="V811" s="26"/>
      <c r="W811" s="25"/>
      <c r="Y811" s="26"/>
      <c r="Z811" s="25"/>
      <c r="AB811" s="26"/>
    </row>
    <row r="812" spans="11:28">
      <c r="K812" s="25"/>
      <c r="M812" s="26"/>
      <c r="N812" s="25"/>
      <c r="P812" s="26"/>
      <c r="Q812" s="25"/>
      <c r="S812" s="26"/>
      <c r="T812" s="25"/>
      <c r="V812" s="26"/>
      <c r="W812" s="25"/>
      <c r="Y812" s="26"/>
      <c r="Z812" s="25"/>
      <c r="AB812" s="26"/>
    </row>
    <row r="813" spans="11:28">
      <c r="K813" s="25"/>
      <c r="M813" s="26"/>
      <c r="N813" s="25"/>
      <c r="P813" s="26"/>
      <c r="Q813" s="25"/>
      <c r="S813" s="26"/>
      <c r="T813" s="25"/>
      <c r="V813" s="26"/>
      <c r="W813" s="25"/>
      <c r="Y813" s="26"/>
      <c r="Z813" s="25"/>
      <c r="AB813" s="26"/>
    </row>
    <row r="814" spans="11:28">
      <c r="K814" s="25"/>
      <c r="M814" s="26"/>
      <c r="N814" s="25"/>
      <c r="P814" s="26"/>
      <c r="Q814" s="25"/>
      <c r="S814" s="26"/>
      <c r="T814" s="25"/>
      <c r="V814" s="26"/>
      <c r="W814" s="25"/>
      <c r="Y814" s="26"/>
      <c r="Z814" s="25"/>
      <c r="AB814" s="26"/>
    </row>
    <row r="815" spans="11:28">
      <c r="K815" s="25"/>
      <c r="M815" s="26"/>
      <c r="N815" s="25"/>
      <c r="P815" s="26"/>
      <c r="Q815" s="25"/>
      <c r="S815" s="26"/>
      <c r="T815" s="25"/>
      <c r="V815" s="26"/>
      <c r="W815" s="25"/>
      <c r="Y815" s="26"/>
      <c r="Z815" s="25"/>
      <c r="AB815" s="26"/>
    </row>
    <row r="816" spans="11:28">
      <c r="K816" s="25"/>
      <c r="M816" s="26"/>
      <c r="N816" s="25"/>
      <c r="P816" s="26"/>
      <c r="Q816" s="25"/>
      <c r="S816" s="26"/>
      <c r="T816" s="25"/>
      <c r="V816" s="26"/>
      <c r="W816" s="25"/>
      <c r="Y816" s="26"/>
      <c r="Z816" s="25"/>
      <c r="AB816" s="26"/>
    </row>
    <row r="817" spans="11:28">
      <c r="K817" s="25"/>
      <c r="M817" s="26"/>
      <c r="N817" s="25"/>
      <c r="P817" s="26"/>
      <c r="Q817" s="25"/>
      <c r="S817" s="26"/>
      <c r="T817" s="25"/>
      <c r="V817" s="26"/>
      <c r="W817" s="25"/>
      <c r="Y817" s="26"/>
      <c r="Z817" s="25"/>
      <c r="AB817" s="26"/>
    </row>
    <row r="818" spans="11:28">
      <c r="K818" s="25"/>
      <c r="M818" s="26"/>
      <c r="N818" s="25"/>
      <c r="P818" s="26"/>
      <c r="Q818" s="25"/>
      <c r="S818" s="26"/>
      <c r="T818" s="25"/>
      <c r="V818" s="26"/>
      <c r="W818" s="25"/>
      <c r="Y818" s="26"/>
      <c r="Z818" s="25"/>
      <c r="AB818" s="26"/>
    </row>
    <row r="819" spans="11:28">
      <c r="K819" s="25"/>
      <c r="M819" s="26"/>
      <c r="N819" s="25"/>
      <c r="P819" s="26"/>
      <c r="Q819" s="25"/>
      <c r="S819" s="26"/>
      <c r="T819" s="25"/>
      <c r="V819" s="26"/>
      <c r="W819" s="25"/>
      <c r="Y819" s="26"/>
      <c r="Z819" s="25"/>
      <c r="AB819" s="26"/>
    </row>
    <row r="820" spans="11:28">
      <c r="K820" s="25"/>
      <c r="M820" s="26"/>
      <c r="N820" s="25"/>
      <c r="P820" s="26"/>
      <c r="Q820" s="25"/>
      <c r="S820" s="26"/>
      <c r="T820" s="25"/>
      <c r="V820" s="26"/>
      <c r="W820" s="25"/>
      <c r="Y820" s="26"/>
      <c r="Z820" s="25"/>
      <c r="AB820" s="26"/>
    </row>
    <row r="821" spans="11:28">
      <c r="K821" s="25"/>
      <c r="M821" s="26"/>
      <c r="N821" s="25"/>
      <c r="P821" s="26"/>
      <c r="Q821" s="25"/>
      <c r="S821" s="26"/>
      <c r="T821" s="25"/>
      <c r="V821" s="26"/>
      <c r="W821" s="25"/>
      <c r="Y821" s="26"/>
      <c r="Z821" s="25"/>
      <c r="AB821" s="26"/>
    </row>
    <row r="822" spans="11:28">
      <c r="K822" s="25"/>
      <c r="M822" s="26"/>
      <c r="N822" s="25"/>
      <c r="P822" s="26"/>
      <c r="Q822" s="25"/>
      <c r="S822" s="26"/>
      <c r="T822" s="25"/>
      <c r="V822" s="26"/>
      <c r="W822" s="25"/>
      <c r="Y822" s="26"/>
      <c r="Z822" s="25"/>
      <c r="AB822" s="26"/>
    </row>
    <row r="823" spans="11:28">
      <c r="K823" s="25"/>
      <c r="M823" s="26"/>
      <c r="N823" s="25"/>
      <c r="P823" s="26"/>
      <c r="Q823" s="25"/>
      <c r="S823" s="26"/>
      <c r="T823" s="25"/>
      <c r="V823" s="26"/>
      <c r="W823" s="25"/>
      <c r="Y823" s="26"/>
      <c r="Z823" s="25"/>
      <c r="AB823" s="26"/>
    </row>
    <row r="824" spans="11:28">
      <c r="K824" s="25"/>
      <c r="M824" s="26"/>
      <c r="N824" s="25"/>
      <c r="P824" s="26"/>
      <c r="Q824" s="25"/>
      <c r="S824" s="26"/>
      <c r="T824" s="25"/>
      <c r="V824" s="26"/>
      <c r="W824" s="25"/>
      <c r="Y824" s="26"/>
      <c r="Z824" s="25"/>
      <c r="AB824" s="26"/>
    </row>
    <row r="825" spans="11:28">
      <c r="K825" s="25"/>
      <c r="M825" s="26"/>
      <c r="N825" s="25"/>
      <c r="P825" s="26"/>
      <c r="Q825" s="25"/>
      <c r="S825" s="26"/>
      <c r="T825" s="25"/>
      <c r="V825" s="26"/>
      <c r="W825" s="25"/>
      <c r="Y825" s="26"/>
      <c r="Z825" s="25"/>
      <c r="AB825" s="26"/>
    </row>
    <row r="826" spans="11:28">
      <c r="K826" s="25"/>
      <c r="M826" s="26"/>
      <c r="N826" s="25"/>
      <c r="P826" s="26"/>
      <c r="Q826" s="25"/>
      <c r="S826" s="26"/>
      <c r="T826" s="25"/>
      <c r="V826" s="26"/>
      <c r="W826" s="25"/>
      <c r="Y826" s="26"/>
      <c r="Z826" s="25"/>
      <c r="AB826" s="26"/>
    </row>
    <row r="827" spans="11:28">
      <c r="K827" s="25"/>
      <c r="M827" s="26"/>
      <c r="N827" s="25"/>
      <c r="P827" s="26"/>
      <c r="Q827" s="25"/>
      <c r="S827" s="26"/>
      <c r="T827" s="25"/>
      <c r="V827" s="26"/>
      <c r="W827" s="25"/>
      <c r="Y827" s="26"/>
      <c r="Z827" s="25"/>
      <c r="AB827" s="26"/>
    </row>
    <row r="828" spans="11:28">
      <c r="K828" s="25"/>
      <c r="M828" s="26"/>
      <c r="N828" s="25"/>
      <c r="P828" s="26"/>
      <c r="Q828" s="25"/>
      <c r="S828" s="26"/>
      <c r="T828" s="25"/>
      <c r="V828" s="26"/>
      <c r="W828" s="25"/>
      <c r="Y828" s="26"/>
      <c r="Z828" s="25"/>
      <c r="AB828" s="26"/>
    </row>
    <row r="829" spans="11:28">
      <c r="K829" s="25"/>
      <c r="M829" s="26"/>
      <c r="N829" s="25"/>
      <c r="P829" s="26"/>
      <c r="Q829" s="25"/>
      <c r="S829" s="26"/>
      <c r="T829" s="25"/>
      <c r="V829" s="26"/>
      <c r="W829" s="25"/>
      <c r="Y829" s="26"/>
      <c r="Z829" s="25"/>
      <c r="AB829" s="26"/>
    </row>
    <row r="830" spans="11:28">
      <c r="K830" s="25"/>
      <c r="M830" s="26"/>
      <c r="N830" s="25"/>
      <c r="P830" s="26"/>
      <c r="Q830" s="25"/>
      <c r="S830" s="26"/>
      <c r="T830" s="25"/>
      <c r="V830" s="26"/>
      <c r="W830" s="25"/>
      <c r="Y830" s="26"/>
      <c r="Z830" s="25"/>
      <c r="AB830" s="26"/>
    </row>
    <row r="831" spans="11:28">
      <c r="K831" s="25"/>
      <c r="M831" s="26"/>
      <c r="N831" s="25"/>
      <c r="P831" s="26"/>
      <c r="Q831" s="25"/>
      <c r="S831" s="26"/>
      <c r="T831" s="25"/>
      <c r="V831" s="26"/>
      <c r="W831" s="25"/>
      <c r="Y831" s="26"/>
      <c r="Z831" s="25"/>
      <c r="AB831" s="26"/>
    </row>
    <row r="832" spans="11:28">
      <c r="K832" s="25"/>
      <c r="M832" s="26"/>
      <c r="N832" s="25"/>
      <c r="P832" s="26"/>
      <c r="Q832" s="25"/>
      <c r="S832" s="26"/>
      <c r="T832" s="25"/>
      <c r="V832" s="26"/>
      <c r="W832" s="25"/>
      <c r="Y832" s="26"/>
      <c r="Z832" s="25"/>
      <c r="AB832" s="26"/>
    </row>
    <row r="833" spans="11:28">
      <c r="K833" s="25"/>
      <c r="M833" s="26"/>
      <c r="N833" s="25"/>
      <c r="P833" s="26"/>
      <c r="Q833" s="25"/>
      <c r="S833" s="26"/>
      <c r="T833" s="25"/>
      <c r="V833" s="26"/>
      <c r="W833" s="25"/>
      <c r="Y833" s="26"/>
      <c r="Z833" s="25"/>
      <c r="AB833" s="26"/>
    </row>
    <row r="834" spans="11:28">
      <c r="K834" s="25"/>
      <c r="M834" s="26"/>
      <c r="N834" s="25"/>
      <c r="P834" s="26"/>
      <c r="Q834" s="25"/>
      <c r="S834" s="26"/>
      <c r="T834" s="25"/>
      <c r="V834" s="26"/>
      <c r="W834" s="25"/>
      <c r="Y834" s="26"/>
      <c r="Z834" s="25"/>
      <c r="AB834" s="26"/>
    </row>
    <row r="835" spans="11:28">
      <c r="K835" s="25"/>
      <c r="M835" s="26"/>
      <c r="N835" s="25"/>
      <c r="P835" s="26"/>
      <c r="Q835" s="25"/>
      <c r="S835" s="26"/>
      <c r="T835" s="25"/>
      <c r="V835" s="26"/>
      <c r="W835" s="25"/>
      <c r="Y835" s="26"/>
      <c r="Z835" s="25"/>
      <c r="AB835" s="26"/>
    </row>
    <row r="836" spans="11:28">
      <c r="K836" s="25"/>
      <c r="M836" s="26"/>
      <c r="N836" s="25"/>
      <c r="P836" s="26"/>
      <c r="Q836" s="25"/>
      <c r="S836" s="26"/>
      <c r="T836" s="25"/>
      <c r="V836" s="26"/>
      <c r="W836" s="25"/>
      <c r="Y836" s="26"/>
      <c r="Z836" s="25"/>
      <c r="AB836" s="26"/>
    </row>
    <row r="837" spans="11:28">
      <c r="K837" s="25"/>
      <c r="M837" s="26"/>
      <c r="N837" s="25"/>
      <c r="P837" s="26"/>
      <c r="Q837" s="25"/>
      <c r="S837" s="26"/>
      <c r="T837" s="25"/>
      <c r="V837" s="26"/>
      <c r="W837" s="25"/>
      <c r="Y837" s="26"/>
      <c r="Z837" s="25"/>
      <c r="AB837" s="26"/>
    </row>
    <row r="838" spans="11:28">
      <c r="K838" s="25"/>
      <c r="M838" s="26"/>
      <c r="N838" s="25"/>
      <c r="P838" s="26"/>
      <c r="Q838" s="25"/>
      <c r="S838" s="26"/>
      <c r="T838" s="25"/>
      <c r="V838" s="26"/>
      <c r="W838" s="25"/>
      <c r="Y838" s="26"/>
      <c r="Z838" s="25"/>
      <c r="AB838" s="26"/>
    </row>
    <row r="839" spans="11:28">
      <c r="K839" s="25"/>
      <c r="M839" s="26"/>
      <c r="N839" s="25"/>
      <c r="P839" s="26"/>
      <c r="Q839" s="25"/>
      <c r="S839" s="26"/>
      <c r="T839" s="25"/>
      <c r="V839" s="26"/>
      <c r="W839" s="25"/>
      <c r="Y839" s="26"/>
      <c r="Z839" s="25"/>
      <c r="AB839" s="26"/>
    </row>
    <row r="840" spans="11:28">
      <c r="K840" s="25"/>
      <c r="M840" s="26"/>
      <c r="N840" s="25"/>
      <c r="P840" s="26"/>
      <c r="Q840" s="25"/>
      <c r="S840" s="26"/>
      <c r="T840" s="25"/>
      <c r="V840" s="26"/>
      <c r="W840" s="25"/>
      <c r="Y840" s="26"/>
      <c r="Z840" s="25"/>
      <c r="AB840" s="26"/>
    </row>
    <row r="841" spans="11:28">
      <c r="K841" s="25"/>
      <c r="M841" s="26"/>
      <c r="N841" s="25"/>
      <c r="P841" s="26"/>
      <c r="Q841" s="25"/>
      <c r="S841" s="26"/>
      <c r="T841" s="25"/>
      <c r="V841" s="26"/>
      <c r="W841" s="25"/>
      <c r="Y841" s="26"/>
      <c r="Z841" s="25"/>
      <c r="AB841" s="26"/>
    </row>
    <row r="842" spans="11:28">
      <c r="K842" s="25"/>
      <c r="M842" s="26"/>
      <c r="N842" s="25"/>
      <c r="P842" s="26"/>
      <c r="Q842" s="25"/>
      <c r="S842" s="26"/>
      <c r="T842" s="25"/>
      <c r="V842" s="26"/>
      <c r="W842" s="25"/>
      <c r="Y842" s="26"/>
      <c r="Z842" s="25"/>
      <c r="AB842" s="26"/>
    </row>
    <row r="843" spans="11:28">
      <c r="K843" s="25"/>
      <c r="M843" s="26"/>
      <c r="N843" s="25"/>
      <c r="P843" s="26"/>
      <c r="Q843" s="25"/>
      <c r="S843" s="26"/>
      <c r="T843" s="25"/>
      <c r="V843" s="26"/>
      <c r="W843" s="25"/>
      <c r="Y843" s="26"/>
      <c r="Z843" s="25"/>
      <c r="AB843" s="26"/>
    </row>
    <row r="844" spans="11:28">
      <c r="K844" s="25"/>
      <c r="M844" s="26"/>
      <c r="N844" s="25"/>
      <c r="P844" s="26"/>
      <c r="Q844" s="25"/>
      <c r="S844" s="26"/>
      <c r="T844" s="25"/>
      <c r="V844" s="26"/>
      <c r="W844" s="25"/>
      <c r="Y844" s="26"/>
      <c r="Z844" s="25"/>
      <c r="AB844" s="26"/>
    </row>
    <row r="845" spans="11:28">
      <c r="K845" s="25"/>
      <c r="M845" s="26"/>
      <c r="N845" s="25"/>
      <c r="P845" s="26"/>
      <c r="Q845" s="25"/>
      <c r="S845" s="26"/>
      <c r="T845" s="25"/>
      <c r="V845" s="26"/>
      <c r="W845" s="25"/>
      <c r="Y845" s="26"/>
      <c r="Z845" s="25"/>
      <c r="AB845" s="26"/>
    </row>
    <row r="846" spans="11:28">
      <c r="K846" s="25"/>
      <c r="M846" s="26"/>
      <c r="N846" s="25"/>
      <c r="P846" s="26"/>
      <c r="Q846" s="25"/>
      <c r="S846" s="26"/>
      <c r="T846" s="25"/>
      <c r="V846" s="26"/>
      <c r="W846" s="25"/>
      <c r="Y846" s="26"/>
      <c r="Z846" s="25"/>
      <c r="AB846" s="26"/>
    </row>
    <row r="847" spans="11:28">
      <c r="K847" s="25"/>
      <c r="M847" s="26"/>
      <c r="N847" s="25"/>
      <c r="P847" s="26"/>
      <c r="Q847" s="25"/>
      <c r="S847" s="26"/>
      <c r="T847" s="25"/>
      <c r="V847" s="26"/>
      <c r="W847" s="25"/>
      <c r="Y847" s="26"/>
      <c r="Z847" s="25"/>
      <c r="AB847" s="26"/>
    </row>
    <row r="848" spans="11:28">
      <c r="K848" s="25"/>
      <c r="M848" s="26"/>
      <c r="N848" s="25"/>
      <c r="P848" s="26"/>
      <c r="Q848" s="25"/>
      <c r="S848" s="26"/>
      <c r="T848" s="25"/>
      <c r="V848" s="26"/>
      <c r="W848" s="25"/>
      <c r="Y848" s="26"/>
      <c r="Z848" s="25"/>
      <c r="AB848" s="26"/>
    </row>
    <row r="849" spans="11:28">
      <c r="K849" s="25"/>
      <c r="M849" s="26"/>
      <c r="N849" s="25"/>
      <c r="P849" s="26"/>
      <c r="Q849" s="25"/>
      <c r="S849" s="26"/>
      <c r="T849" s="25"/>
      <c r="V849" s="26"/>
      <c r="W849" s="25"/>
      <c r="Y849" s="26"/>
      <c r="Z849" s="25"/>
      <c r="AB849" s="26"/>
    </row>
    <row r="850" spans="11:28">
      <c r="K850" s="25"/>
      <c r="M850" s="26"/>
      <c r="N850" s="25"/>
      <c r="P850" s="26"/>
      <c r="Q850" s="25"/>
      <c r="S850" s="26"/>
      <c r="T850" s="25"/>
      <c r="V850" s="26"/>
      <c r="W850" s="25"/>
      <c r="Y850" s="26"/>
      <c r="Z850" s="25"/>
      <c r="AB850" s="26"/>
    </row>
    <row r="851" spans="11:28">
      <c r="K851" s="25"/>
      <c r="M851" s="26"/>
      <c r="N851" s="25"/>
      <c r="P851" s="26"/>
      <c r="Q851" s="25"/>
      <c r="S851" s="26"/>
      <c r="T851" s="25"/>
      <c r="V851" s="26"/>
      <c r="W851" s="25"/>
      <c r="Y851" s="26"/>
      <c r="Z851" s="25"/>
      <c r="AB851" s="26"/>
    </row>
    <row r="852" spans="11:28">
      <c r="K852" s="25"/>
      <c r="M852" s="26"/>
      <c r="N852" s="25"/>
      <c r="P852" s="26"/>
      <c r="Q852" s="25"/>
      <c r="S852" s="26"/>
      <c r="T852" s="25"/>
      <c r="V852" s="26"/>
      <c r="W852" s="25"/>
      <c r="Y852" s="26"/>
      <c r="Z852" s="25"/>
      <c r="AB852" s="26"/>
    </row>
    <row r="853" spans="11:28">
      <c r="K853" s="25"/>
      <c r="M853" s="26"/>
      <c r="N853" s="25"/>
      <c r="P853" s="26"/>
      <c r="Q853" s="25"/>
      <c r="S853" s="26"/>
      <c r="T853" s="25"/>
      <c r="V853" s="26"/>
      <c r="W853" s="25"/>
      <c r="Y853" s="26"/>
      <c r="Z853" s="25"/>
      <c r="AB853" s="26"/>
    </row>
    <row r="854" spans="11:28">
      <c r="K854" s="25"/>
      <c r="M854" s="26"/>
      <c r="N854" s="25"/>
      <c r="P854" s="26"/>
      <c r="Q854" s="25"/>
      <c r="S854" s="26"/>
      <c r="T854" s="25"/>
      <c r="V854" s="26"/>
      <c r="W854" s="25"/>
      <c r="Y854" s="26"/>
      <c r="Z854" s="25"/>
      <c r="AB854" s="26"/>
    </row>
    <row r="855" spans="11:28">
      <c r="K855" s="25"/>
      <c r="M855" s="26"/>
      <c r="N855" s="25"/>
      <c r="P855" s="26"/>
      <c r="Q855" s="25"/>
      <c r="S855" s="26"/>
      <c r="T855" s="25"/>
      <c r="V855" s="26"/>
      <c r="W855" s="25"/>
      <c r="Y855" s="26"/>
      <c r="Z855" s="25"/>
      <c r="AB855" s="26"/>
    </row>
    <row r="856" spans="11:28">
      <c r="K856" s="25"/>
      <c r="M856" s="26"/>
      <c r="N856" s="25"/>
      <c r="P856" s="26"/>
      <c r="Q856" s="25"/>
      <c r="S856" s="26"/>
      <c r="T856" s="25"/>
      <c r="V856" s="26"/>
      <c r="W856" s="25"/>
      <c r="Y856" s="26"/>
      <c r="Z856" s="25"/>
      <c r="AB856" s="26"/>
    </row>
    <row r="857" spans="11:28">
      <c r="K857" s="25"/>
      <c r="M857" s="26"/>
      <c r="N857" s="25"/>
      <c r="P857" s="26"/>
      <c r="Q857" s="25"/>
      <c r="S857" s="26"/>
      <c r="T857" s="25"/>
      <c r="V857" s="26"/>
      <c r="W857" s="25"/>
      <c r="Y857" s="26"/>
      <c r="Z857" s="25"/>
      <c r="AB857" s="26"/>
    </row>
    <row r="858" spans="11:28">
      <c r="K858" s="25"/>
      <c r="M858" s="26"/>
      <c r="N858" s="25"/>
      <c r="P858" s="26"/>
      <c r="Q858" s="25"/>
      <c r="S858" s="26"/>
      <c r="T858" s="25"/>
      <c r="V858" s="26"/>
      <c r="W858" s="25"/>
      <c r="Y858" s="26"/>
      <c r="Z858" s="25"/>
      <c r="AB858" s="26"/>
    </row>
    <row r="859" spans="11:28">
      <c r="K859" s="25"/>
      <c r="M859" s="26"/>
      <c r="N859" s="25"/>
      <c r="P859" s="26"/>
      <c r="Q859" s="25"/>
      <c r="S859" s="26"/>
      <c r="T859" s="25"/>
      <c r="V859" s="26"/>
      <c r="W859" s="25"/>
      <c r="Y859" s="26"/>
      <c r="Z859" s="25"/>
      <c r="AB859" s="26"/>
    </row>
    <row r="860" spans="11:28">
      <c r="K860" s="25"/>
      <c r="M860" s="26"/>
      <c r="N860" s="25"/>
      <c r="P860" s="26"/>
      <c r="Q860" s="25"/>
      <c r="S860" s="26"/>
      <c r="T860" s="25"/>
      <c r="V860" s="26"/>
      <c r="W860" s="25"/>
      <c r="Y860" s="26"/>
      <c r="Z860" s="25"/>
      <c r="AB860" s="26"/>
    </row>
    <row r="861" spans="11:28">
      <c r="K861" s="25"/>
      <c r="M861" s="26"/>
      <c r="N861" s="25"/>
      <c r="P861" s="26"/>
      <c r="Q861" s="25"/>
      <c r="S861" s="26"/>
      <c r="T861" s="25"/>
      <c r="V861" s="26"/>
      <c r="W861" s="25"/>
      <c r="Y861" s="26"/>
      <c r="Z861" s="25"/>
      <c r="AB861" s="26"/>
    </row>
    <row r="862" spans="11:28">
      <c r="K862" s="25"/>
      <c r="M862" s="26"/>
      <c r="N862" s="25"/>
      <c r="P862" s="26"/>
      <c r="Q862" s="25"/>
      <c r="S862" s="26"/>
      <c r="T862" s="25"/>
      <c r="V862" s="26"/>
      <c r="W862" s="25"/>
      <c r="Y862" s="26"/>
      <c r="Z862" s="25"/>
      <c r="AB862" s="26"/>
    </row>
    <row r="863" spans="11:28">
      <c r="K863" s="25"/>
      <c r="M863" s="26"/>
      <c r="N863" s="25"/>
      <c r="P863" s="26"/>
      <c r="Q863" s="25"/>
      <c r="S863" s="26"/>
      <c r="T863" s="25"/>
      <c r="V863" s="26"/>
      <c r="W863" s="25"/>
      <c r="Y863" s="26"/>
      <c r="Z863" s="25"/>
      <c r="AB863" s="26"/>
    </row>
    <row r="864" spans="11:28">
      <c r="K864" s="25"/>
      <c r="M864" s="26"/>
      <c r="N864" s="25"/>
      <c r="P864" s="26"/>
      <c r="Q864" s="25"/>
      <c r="S864" s="26"/>
      <c r="T864" s="25"/>
      <c r="V864" s="26"/>
      <c r="W864" s="25"/>
      <c r="Y864" s="26"/>
      <c r="Z864" s="25"/>
      <c r="AB864" s="26"/>
    </row>
    <row r="865" spans="11:28">
      <c r="K865" s="25"/>
      <c r="M865" s="26"/>
      <c r="N865" s="25"/>
      <c r="P865" s="26"/>
      <c r="Q865" s="25"/>
      <c r="S865" s="26"/>
      <c r="T865" s="25"/>
      <c r="V865" s="26"/>
      <c r="W865" s="25"/>
      <c r="Y865" s="26"/>
      <c r="Z865" s="25"/>
      <c r="AB865" s="26"/>
    </row>
    <row r="866" spans="11:28">
      <c r="K866" s="25"/>
      <c r="M866" s="26"/>
      <c r="N866" s="25"/>
      <c r="P866" s="26"/>
      <c r="Q866" s="25"/>
      <c r="S866" s="26"/>
      <c r="T866" s="25"/>
      <c r="V866" s="26"/>
      <c r="W866" s="25"/>
      <c r="Y866" s="26"/>
      <c r="Z866" s="25"/>
      <c r="AB866" s="26"/>
    </row>
    <row r="867" spans="11:28">
      <c r="K867" s="25"/>
      <c r="M867" s="26"/>
      <c r="N867" s="25"/>
      <c r="P867" s="26"/>
      <c r="Q867" s="25"/>
      <c r="S867" s="26"/>
      <c r="T867" s="25"/>
      <c r="V867" s="26"/>
      <c r="W867" s="25"/>
      <c r="Y867" s="26"/>
      <c r="Z867" s="25"/>
      <c r="AB867" s="26"/>
    </row>
    <row r="868" spans="11:28">
      <c r="K868" s="25"/>
      <c r="M868" s="26"/>
      <c r="N868" s="25"/>
      <c r="P868" s="26"/>
      <c r="Q868" s="25"/>
      <c r="S868" s="26"/>
      <c r="T868" s="25"/>
      <c r="V868" s="26"/>
      <c r="W868" s="25"/>
      <c r="Y868" s="26"/>
      <c r="Z868" s="25"/>
      <c r="AB868" s="26"/>
    </row>
    <row r="869" spans="11:28">
      <c r="K869" s="25"/>
      <c r="M869" s="26"/>
      <c r="N869" s="25"/>
      <c r="P869" s="26"/>
      <c r="Q869" s="25"/>
      <c r="S869" s="26"/>
      <c r="T869" s="25"/>
      <c r="V869" s="26"/>
      <c r="W869" s="25"/>
      <c r="Y869" s="26"/>
      <c r="Z869" s="25"/>
      <c r="AB869" s="26"/>
    </row>
    <row r="870" spans="11:28">
      <c r="K870" s="25"/>
      <c r="M870" s="26"/>
      <c r="N870" s="25"/>
      <c r="P870" s="26"/>
      <c r="Q870" s="25"/>
      <c r="S870" s="26"/>
      <c r="T870" s="25"/>
      <c r="V870" s="26"/>
      <c r="W870" s="25"/>
      <c r="Y870" s="26"/>
      <c r="Z870" s="25"/>
      <c r="AB870" s="26"/>
    </row>
    <row r="871" spans="11:28">
      <c r="K871" s="25"/>
      <c r="M871" s="26"/>
      <c r="N871" s="25"/>
      <c r="P871" s="26"/>
      <c r="Q871" s="25"/>
      <c r="S871" s="26"/>
      <c r="T871" s="25"/>
      <c r="V871" s="26"/>
      <c r="W871" s="25"/>
      <c r="Y871" s="26"/>
      <c r="Z871" s="25"/>
      <c r="AB871" s="26"/>
    </row>
    <row r="872" spans="11:28">
      <c r="K872" s="25"/>
      <c r="M872" s="26"/>
      <c r="N872" s="25"/>
      <c r="P872" s="26"/>
      <c r="Q872" s="25"/>
      <c r="S872" s="26"/>
      <c r="T872" s="25"/>
      <c r="V872" s="26"/>
      <c r="W872" s="25"/>
      <c r="Y872" s="26"/>
      <c r="Z872" s="25"/>
      <c r="AB872" s="26"/>
    </row>
    <row r="873" spans="11:28">
      <c r="K873" s="25"/>
      <c r="M873" s="26"/>
      <c r="N873" s="25"/>
      <c r="P873" s="26"/>
      <c r="Q873" s="25"/>
      <c r="S873" s="26"/>
      <c r="T873" s="25"/>
      <c r="V873" s="26"/>
      <c r="W873" s="25"/>
      <c r="Y873" s="26"/>
      <c r="Z873" s="25"/>
      <c r="AB873" s="26"/>
    </row>
    <row r="874" spans="11:28">
      <c r="K874" s="25"/>
      <c r="M874" s="26"/>
      <c r="N874" s="25"/>
      <c r="P874" s="26"/>
      <c r="Q874" s="25"/>
      <c r="S874" s="26"/>
      <c r="T874" s="25"/>
      <c r="V874" s="26"/>
      <c r="W874" s="25"/>
      <c r="Y874" s="26"/>
      <c r="Z874" s="25"/>
      <c r="AB874" s="26"/>
    </row>
    <row r="875" spans="11:28">
      <c r="K875" s="25"/>
      <c r="M875" s="26"/>
      <c r="N875" s="25"/>
      <c r="P875" s="26"/>
      <c r="Q875" s="25"/>
      <c r="S875" s="26"/>
      <c r="T875" s="25"/>
      <c r="V875" s="26"/>
      <c r="W875" s="25"/>
      <c r="Y875" s="26"/>
      <c r="Z875" s="25"/>
      <c r="AB875" s="26"/>
    </row>
    <row r="876" spans="11:28">
      <c r="K876" s="25"/>
      <c r="M876" s="26"/>
      <c r="N876" s="25"/>
      <c r="P876" s="26"/>
      <c r="Q876" s="25"/>
      <c r="S876" s="26"/>
      <c r="T876" s="25"/>
      <c r="V876" s="26"/>
      <c r="W876" s="25"/>
      <c r="Y876" s="26"/>
      <c r="Z876" s="25"/>
      <c r="AB876" s="26"/>
    </row>
    <row r="877" spans="11:28">
      <c r="K877" s="25"/>
      <c r="M877" s="26"/>
      <c r="N877" s="25"/>
      <c r="P877" s="26"/>
      <c r="Q877" s="25"/>
      <c r="S877" s="26"/>
      <c r="T877" s="25"/>
      <c r="V877" s="26"/>
      <c r="W877" s="25"/>
      <c r="Y877" s="26"/>
      <c r="Z877" s="25"/>
      <c r="AB877" s="26"/>
    </row>
    <row r="878" spans="11:28">
      <c r="K878" s="25"/>
      <c r="M878" s="26"/>
      <c r="N878" s="25"/>
      <c r="P878" s="26"/>
      <c r="Q878" s="25"/>
      <c r="S878" s="26"/>
      <c r="T878" s="25"/>
      <c r="V878" s="26"/>
      <c r="W878" s="25"/>
      <c r="Y878" s="26"/>
      <c r="Z878" s="25"/>
      <c r="AB878" s="26"/>
    </row>
    <row r="879" spans="11:28">
      <c r="K879" s="25"/>
      <c r="M879" s="26"/>
      <c r="N879" s="25"/>
      <c r="P879" s="26"/>
      <c r="Q879" s="25"/>
      <c r="S879" s="26"/>
      <c r="T879" s="25"/>
      <c r="V879" s="26"/>
      <c r="W879" s="25"/>
      <c r="Y879" s="26"/>
      <c r="Z879" s="25"/>
      <c r="AB879" s="26"/>
    </row>
    <row r="880" spans="11:28">
      <c r="K880" s="25"/>
      <c r="M880" s="26"/>
      <c r="N880" s="25"/>
      <c r="P880" s="26"/>
      <c r="Q880" s="25"/>
      <c r="S880" s="26"/>
      <c r="T880" s="25"/>
      <c r="V880" s="26"/>
      <c r="W880" s="25"/>
      <c r="Y880" s="26"/>
      <c r="Z880" s="25"/>
      <c r="AB880" s="26"/>
    </row>
    <row r="881" spans="11:28">
      <c r="K881" s="25"/>
      <c r="M881" s="26"/>
      <c r="N881" s="25"/>
      <c r="P881" s="26"/>
      <c r="Q881" s="25"/>
      <c r="S881" s="26"/>
      <c r="T881" s="25"/>
      <c r="V881" s="26"/>
      <c r="W881" s="25"/>
      <c r="Y881" s="26"/>
      <c r="Z881" s="25"/>
      <c r="AB881" s="26"/>
    </row>
    <row r="882" spans="11:28">
      <c r="K882" s="25"/>
      <c r="M882" s="26"/>
      <c r="N882" s="25"/>
      <c r="P882" s="26"/>
      <c r="Q882" s="25"/>
      <c r="S882" s="26"/>
      <c r="T882" s="25"/>
      <c r="V882" s="26"/>
      <c r="W882" s="25"/>
      <c r="Y882" s="26"/>
      <c r="Z882" s="25"/>
      <c r="AB882" s="26"/>
    </row>
    <row r="883" spans="11:28">
      <c r="K883" s="25"/>
      <c r="M883" s="26"/>
      <c r="N883" s="25"/>
      <c r="P883" s="26"/>
      <c r="Q883" s="25"/>
      <c r="S883" s="26"/>
      <c r="T883" s="25"/>
      <c r="V883" s="26"/>
      <c r="W883" s="25"/>
      <c r="Y883" s="26"/>
      <c r="Z883" s="25"/>
      <c r="AB883" s="26"/>
    </row>
    <row r="884" spans="11:28">
      <c r="K884" s="25"/>
      <c r="M884" s="26"/>
      <c r="N884" s="25"/>
      <c r="P884" s="26"/>
      <c r="Q884" s="25"/>
      <c r="S884" s="26"/>
      <c r="T884" s="25"/>
      <c r="V884" s="26"/>
      <c r="W884" s="25"/>
      <c r="Y884" s="26"/>
      <c r="Z884" s="25"/>
      <c r="AB884" s="26"/>
    </row>
    <row r="885" spans="11:28">
      <c r="K885" s="25"/>
      <c r="M885" s="26"/>
      <c r="N885" s="25"/>
      <c r="P885" s="26"/>
      <c r="Q885" s="25"/>
      <c r="S885" s="26"/>
      <c r="T885" s="25"/>
      <c r="V885" s="26"/>
      <c r="W885" s="25"/>
      <c r="Y885" s="26"/>
      <c r="Z885" s="25"/>
      <c r="AB885" s="26"/>
    </row>
    <row r="886" spans="11:28">
      <c r="K886" s="25"/>
      <c r="M886" s="26"/>
      <c r="N886" s="25"/>
      <c r="P886" s="26"/>
      <c r="Q886" s="25"/>
      <c r="S886" s="26"/>
      <c r="T886" s="25"/>
      <c r="V886" s="26"/>
      <c r="W886" s="25"/>
      <c r="Y886" s="26"/>
      <c r="Z886" s="25"/>
      <c r="AB886" s="26"/>
    </row>
    <row r="887" spans="11:28">
      <c r="K887" s="25"/>
      <c r="M887" s="26"/>
      <c r="N887" s="25"/>
      <c r="P887" s="26"/>
      <c r="Q887" s="25"/>
      <c r="S887" s="26"/>
      <c r="T887" s="25"/>
      <c r="V887" s="26"/>
      <c r="W887" s="25"/>
      <c r="Y887" s="26"/>
      <c r="Z887" s="25"/>
      <c r="AB887" s="26"/>
    </row>
    <row r="888" spans="11:28">
      <c r="K888" s="25"/>
      <c r="M888" s="26"/>
      <c r="N888" s="25"/>
      <c r="P888" s="26"/>
      <c r="Q888" s="25"/>
      <c r="S888" s="26"/>
      <c r="T888" s="25"/>
      <c r="V888" s="26"/>
      <c r="W888" s="25"/>
      <c r="Y888" s="26"/>
      <c r="Z888" s="25"/>
      <c r="AB888" s="26"/>
    </row>
    <row r="889" spans="11:28">
      <c r="K889" s="25"/>
      <c r="M889" s="26"/>
      <c r="N889" s="25"/>
      <c r="P889" s="26"/>
      <c r="Q889" s="25"/>
      <c r="S889" s="26"/>
      <c r="T889" s="25"/>
      <c r="V889" s="26"/>
      <c r="W889" s="25"/>
      <c r="Y889" s="26"/>
      <c r="Z889" s="25"/>
      <c r="AB889" s="26"/>
    </row>
    <row r="890" spans="11:28">
      <c r="K890" s="25"/>
      <c r="M890" s="26"/>
      <c r="N890" s="25"/>
      <c r="P890" s="26"/>
      <c r="Q890" s="25"/>
      <c r="S890" s="26"/>
      <c r="T890" s="25"/>
      <c r="V890" s="26"/>
      <c r="W890" s="25"/>
      <c r="Y890" s="26"/>
      <c r="Z890" s="25"/>
      <c r="AB890" s="26"/>
    </row>
    <row r="891" spans="11:28">
      <c r="K891" s="25"/>
      <c r="M891" s="26"/>
      <c r="N891" s="25"/>
      <c r="P891" s="26"/>
      <c r="Q891" s="25"/>
      <c r="S891" s="26"/>
      <c r="T891" s="25"/>
      <c r="V891" s="26"/>
      <c r="W891" s="25"/>
      <c r="Y891" s="26"/>
      <c r="Z891" s="25"/>
      <c r="AB891" s="26"/>
    </row>
    <row r="892" spans="11:28">
      <c r="K892" s="25"/>
      <c r="M892" s="26"/>
      <c r="N892" s="25"/>
      <c r="P892" s="26"/>
      <c r="Q892" s="25"/>
      <c r="S892" s="26"/>
      <c r="T892" s="25"/>
      <c r="V892" s="26"/>
      <c r="W892" s="25"/>
      <c r="Y892" s="26"/>
      <c r="Z892" s="25"/>
      <c r="AB892" s="26"/>
    </row>
    <row r="893" spans="11:28">
      <c r="K893" s="25"/>
      <c r="M893" s="26"/>
      <c r="N893" s="25"/>
      <c r="P893" s="26"/>
      <c r="Q893" s="25"/>
      <c r="S893" s="26"/>
      <c r="T893" s="25"/>
      <c r="V893" s="26"/>
      <c r="W893" s="25"/>
      <c r="Y893" s="26"/>
      <c r="Z893" s="25"/>
      <c r="AB893" s="26"/>
    </row>
    <row r="894" spans="11:28">
      <c r="K894" s="25"/>
      <c r="M894" s="26"/>
      <c r="N894" s="25"/>
      <c r="P894" s="26"/>
      <c r="Q894" s="25"/>
      <c r="S894" s="26"/>
      <c r="T894" s="25"/>
      <c r="V894" s="26"/>
      <c r="W894" s="25"/>
      <c r="Y894" s="26"/>
      <c r="Z894" s="25"/>
      <c r="AB894" s="26"/>
    </row>
    <row r="895" spans="11:28">
      <c r="K895" s="25"/>
      <c r="M895" s="26"/>
      <c r="N895" s="25"/>
      <c r="P895" s="26"/>
      <c r="Q895" s="25"/>
      <c r="S895" s="26"/>
      <c r="T895" s="25"/>
      <c r="V895" s="26"/>
      <c r="W895" s="25"/>
      <c r="Y895" s="26"/>
      <c r="Z895" s="25"/>
      <c r="AB895" s="26"/>
    </row>
    <row r="896" spans="11:28">
      <c r="K896" s="25"/>
      <c r="M896" s="26"/>
      <c r="N896" s="25"/>
      <c r="P896" s="26"/>
      <c r="Q896" s="25"/>
      <c r="S896" s="26"/>
      <c r="T896" s="25"/>
      <c r="V896" s="26"/>
      <c r="W896" s="25"/>
      <c r="Y896" s="26"/>
      <c r="Z896" s="25"/>
      <c r="AB896" s="26"/>
    </row>
    <row r="897" spans="11:28">
      <c r="K897" s="25"/>
      <c r="M897" s="26"/>
      <c r="N897" s="25"/>
      <c r="P897" s="26"/>
      <c r="Q897" s="25"/>
      <c r="S897" s="26"/>
      <c r="T897" s="25"/>
      <c r="V897" s="26"/>
      <c r="W897" s="25"/>
      <c r="Y897" s="26"/>
      <c r="Z897" s="25"/>
      <c r="AB897" s="26"/>
    </row>
    <row r="898" spans="11:28">
      <c r="K898" s="25"/>
      <c r="M898" s="26"/>
      <c r="N898" s="25"/>
      <c r="P898" s="26"/>
      <c r="Q898" s="25"/>
      <c r="S898" s="26"/>
      <c r="T898" s="25"/>
      <c r="V898" s="26"/>
      <c r="W898" s="25"/>
      <c r="Y898" s="26"/>
      <c r="Z898" s="25"/>
      <c r="AB898" s="26"/>
    </row>
    <row r="899" spans="11:28">
      <c r="K899" s="25"/>
      <c r="M899" s="26"/>
      <c r="N899" s="25"/>
      <c r="P899" s="26"/>
      <c r="Q899" s="25"/>
      <c r="S899" s="26"/>
      <c r="T899" s="25"/>
      <c r="V899" s="26"/>
      <c r="W899" s="25"/>
      <c r="Y899" s="26"/>
      <c r="Z899" s="25"/>
      <c r="AB899" s="26"/>
    </row>
    <row r="900" spans="11:28">
      <c r="K900" s="25"/>
      <c r="M900" s="26"/>
      <c r="N900" s="25"/>
      <c r="P900" s="26"/>
      <c r="Q900" s="25"/>
      <c r="S900" s="26"/>
      <c r="T900" s="25"/>
      <c r="V900" s="26"/>
      <c r="W900" s="25"/>
      <c r="Y900" s="26"/>
      <c r="Z900" s="25"/>
      <c r="AB900" s="26"/>
    </row>
    <row r="901" spans="11:28">
      <c r="K901" s="25"/>
      <c r="M901" s="26"/>
      <c r="N901" s="25"/>
      <c r="P901" s="26"/>
      <c r="Q901" s="25"/>
      <c r="S901" s="26"/>
      <c r="T901" s="25"/>
      <c r="V901" s="26"/>
      <c r="W901" s="25"/>
      <c r="Y901" s="26"/>
      <c r="Z901" s="25"/>
      <c r="AB901" s="26"/>
    </row>
    <row r="902" spans="11:28">
      <c r="K902" s="25"/>
      <c r="M902" s="26"/>
      <c r="N902" s="25"/>
      <c r="P902" s="26"/>
      <c r="Q902" s="25"/>
      <c r="S902" s="26"/>
      <c r="T902" s="25"/>
      <c r="V902" s="26"/>
      <c r="W902" s="25"/>
      <c r="Y902" s="26"/>
      <c r="Z902" s="25"/>
      <c r="AB902" s="26"/>
    </row>
    <row r="903" spans="11:28">
      <c r="K903" s="25"/>
      <c r="M903" s="26"/>
      <c r="N903" s="25"/>
      <c r="P903" s="26"/>
      <c r="Q903" s="25"/>
      <c r="S903" s="26"/>
      <c r="T903" s="25"/>
      <c r="V903" s="26"/>
      <c r="W903" s="25"/>
      <c r="Y903" s="26"/>
      <c r="Z903" s="25"/>
      <c r="AB903" s="26"/>
    </row>
    <row r="904" spans="11:28">
      <c r="K904" s="25"/>
      <c r="M904" s="26"/>
      <c r="N904" s="25"/>
      <c r="P904" s="26"/>
      <c r="Q904" s="25"/>
      <c r="S904" s="26"/>
      <c r="T904" s="25"/>
      <c r="V904" s="26"/>
      <c r="W904" s="25"/>
      <c r="Y904" s="26"/>
      <c r="Z904" s="25"/>
      <c r="AB904" s="26"/>
    </row>
    <row r="905" spans="11:28">
      <c r="K905" s="25"/>
      <c r="M905" s="26"/>
      <c r="N905" s="25"/>
      <c r="P905" s="26"/>
      <c r="Q905" s="25"/>
      <c r="S905" s="26"/>
      <c r="T905" s="25"/>
      <c r="V905" s="26"/>
      <c r="W905" s="25"/>
      <c r="Y905" s="26"/>
      <c r="Z905" s="25"/>
      <c r="AB905" s="26"/>
    </row>
    <row r="906" spans="11:28">
      <c r="K906" s="25"/>
      <c r="M906" s="26"/>
      <c r="N906" s="25"/>
      <c r="P906" s="26"/>
      <c r="Q906" s="25"/>
      <c r="S906" s="26"/>
      <c r="T906" s="25"/>
      <c r="V906" s="26"/>
      <c r="W906" s="25"/>
      <c r="Y906" s="26"/>
      <c r="Z906" s="25"/>
      <c r="AB906" s="26"/>
    </row>
    <row r="907" spans="11:28">
      <c r="K907" s="25"/>
      <c r="M907" s="26"/>
      <c r="N907" s="25"/>
      <c r="P907" s="26"/>
      <c r="Q907" s="25"/>
      <c r="S907" s="26"/>
      <c r="T907" s="25"/>
      <c r="V907" s="26"/>
      <c r="W907" s="25"/>
      <c r="Y907" s="26"/>
      <c r="Z907" s="25"/>
      <c r="AB907" s="26"/>
    </row>
    <row r="908" spans="11:28">
      <c r="K908" s="25"/>
      <c r="M908" s="26"/>
      <c r="N908" s="25"/>
      <c r="P908" s="26"/>
      <c r="Q908" s="25"/>
      <c r="S908" s="26"/>
      <c r="T908" s="25"/>
      <c r="V908" s="26"/>
      <c r="W908" s="25"/>
      <c r="Y908" s="26"/>
      <c r="Z908" s="25"/>
      <c r="AB908" s="26"/>
    </row>
    <row r="909" spans="11:28">
      <c r="K909" s="25"/>
      <c r="M909" s="26"/>
      <c r="N909" s="25"/>
      <c r="P909" s="26"/>
      <c r="Q909" s="25"/>
      <c r="S909" s="26"/>
      <c r="T909" s="25"/>
      <c r="V909" s="26"/>
      <c r="W909" s="25"/>
      <c r="Y909" s="26"/>
      <c r="Z909" s="25"/>
      <c r="AB909" s="26"/>
    </row>
    <row r="910" spans="11:28">
      <c r="K910" s="25"/>
      <c r="M910" s="26"/>
      <c r="N910" s="25"/>
      <c r="P910" s="26"/>
      <c r="Q910" s="25"/>
      <c r="S910" s="26"/>
      <c r="T910" s="25"/>
      <c r="V910" s="26"/>
      <c r="W910" s="25"/>
      <c r="Y910" s="26"/>
      <c r="Z910" s="25"/>
      <c r="AB910" s="26"/>
    </row>
    <row r="911" spans="11:28">
      <c r="K911" s="25"/>
      <c r="M911" s="26"/>
      <c r="N911" s="25"/>
      <c r="P911" s="26"/>
      <c r="Q911" s="25"/>
      <c r="S911" s="26"/>
      <c r="T911" s="25"/>
      <c r="V911" s="26"/>
      <c r="W911" s="25"/>
      <c r="Y911" s="26"/>
      <c r="Z911" s="25"/>
      <c r="AB911" s="26"/>
    </row>
    <row r="912" spans="11:28">
      <c r="K912" s="25"/>
      <c r="M912" s="26"/>
      <c r="N912" s="25"/>
      <c r="P912" s="26"/>
      <c r="Q912" s="25"/>
      <c r="S912" s="26"/>
      <c r="T912" s="25"/>
      <c r="V912" s="26"/>
      <c r="W912" s="25"/>
      <c r="Y912" s="26"/>
      <c r="Z912" s="25"/>
      <c r="AB912" s="26"/>
    </row>
    <row r="913" spans="11:28">
      <c r="K913" s="25"/>
      <c r="M913" s="26"/>
      <c r="N913" s="25"/>
      <c r="P913" s="26"/>
      <c r="Q913" s="25"/>
      <c r="S913" s="26"/>
      <c r="T913" s="25"/>
      <c r="V913" s="26"/>
      <c r="W913" s="25"/>
      <c r="Y913" s="26"/>
      <c r="Z913" s="25"/>
      <c r="AB913" s="26"/>
    </row>
    <row r="914" spans="11:28">
      <c r="K914" s="25"/>
      <c r="M914" s="26"/>
      <c r="N914" s="25"/>
      <c r="P914" s="26"/>
      <c r="Q914" s="25"/>
      <c r="S914" s="26"/>
      <c r="T914" s="25"/>
      <c r="V914" s="26"/>
      <c r="W914" s="25"/>
      <c r="Y914" s="26"/>
      <c r="Z914" s="25"/>
      <c r="AB914" s="26"/>
    </row>
    <row r="915" spans="11:28">
      <c r="K915" s="25"/>
      <c r="M915" s="26"/>
      <c r="N915" s="25"/>
      <c r="P915" s="26"/>
      <c r="Q915" s="25"/>
      <c r="S915" s="26"/>
      <c r="T915" s="25"/>
      <c r="V915" s="26"/>
      <c r="W915" s="25"/>
      <c r="Y915" s="26"/>
      <c r="Z915" s="25"/>
      <c r="AB915" s="26"/>
    </row>
    <row r="916" spans="11:28">
      <c r="K916" s="25"/>
      <c r="M916" s="26"/>
      <c r="N916" s="25"/>
      <c r="P916" s="26"/>
      <c r="Q916" s="25"/>
      <c r="S916" s="26"/>
      <c r="T916" s="25"/>
      <c r="V916" s="26"/>
      <c r="W916" s="25"/>
      <c r="Y916" s="26"/>
      <c r="Z916" s="25"/>
      <c r="AB916" s="26"/>
    </row>
    <row r="917" spans="11:28">
      <c r="K917" s="25"/>
      <c r="M917" s="26"/>
      <c r="N917" s="25"/>
      <c r="P917" s="26"/>
      <c r="Q917" s="25"/>
      <c r="S917" s="26"/>
      <c r="T917" s="25"/>
      <c r="V917" s="26"/>
      <c r="W917" s="25"/>
      <c r="Y917" s="26"/>
      <c r="Z917" s="25"/>
      <c r="AB917" s="26"/>
    </row>
    <row r="918" spans="11:28">
      <c r="K918" s="25"/>
      <c r="M918" s="26"/>
      <c r="N918" s="25"/>
      <c r="P918" s="26"/>
      <c r="Q918" s="25"/>
      <c r="S918" s="26"/>
      <c r="T918" s="25"/>
      <c r="V918" s="26"/>
      <c r="W918" s="25"/>
      <c r="Y918" s="26"/>
      <c r="Z918" s="25"/>
      <c r="AB918" s="26"/>
    </row>
    <row r="919" spans="11:28">
      <c r="K919" s="25"/>
      <c r="M919" s="26"/>
      <c r="N919" s="25"/>
      <c r="P919" s="26"/>
      <c r="Q919" s="25"/>
      <c r="S919" s="26"/>
      <c r="T919" s="25"/>
      <c r="V919" s="26"/>
      <c r="W919" s="25"/>
      <c r="Y919" s="26"/>
      <c r="Z919" s="25"/>
      <c r="AB919" s="26"/>
    </row>
    <row r="920" spans="11:28">
      <c r="K920" s="25"/>
      <c r="M920" s="26"/>
      <c r="N920" s="25"/>
      <c r="P920" s="26"/>
      <c r="Q920" s="25"/>
      <c r="S920" s="26"/>
      <c r="T920" s="25"/>
      <c r="V920" s="26"/>
      <c r="W920" s="25"/>
      <c r="Y920" s="26"/>
      <c r="Z920" s="25"/>
      <c r="AB920" s="26"/>
    </row>
    <row r="921" spans="11:28">
      <c r="K921" s="25"/>
      <c r="M921" s="26"/>
      <c r="N921" s="25"/>
      <c r="P921" s="26"/>
      <c r="Q921" s="25"/>
      <c r="S921" s="26"/>
      <c r="T921" s="25"/>
      <c r="V921" s="26"/>
      <c r="W921" s="25"/>
      <c r="Y921" s="26"/>
      <c r="Z921" s="25"/>
      <c r="AB921" s="26"/>
    </row>
    <row r="922" spans="11:28">
      <c r="K922" s="25"/>
      <c r="M922" s="26"/>
      <c r="N922" s="25"/>
      <c r="P922" s="26"/>
      <c r="Q922" s="25"/>
      <c r="S922" s="26"/>
      <c r="T922" s="25"/>
      <c r="V922" s="26"/>
      <c r="W922" s="25"/>
      <c r="Y922" s="26"/>
      <c r="Z922" s="25"/>
      <c r="AB922" s="26"/>
    </row>
    <row r="923" spans="11:28">
      <c r="K923" s="25"/>
      <c r="M923" s="26"/>
      <c r="N923" s="25"/>
      <c r="P923" s="26"/>
      <c r="Q923" s="25"/>
      <c r="S923" s="26"/>
      <c r="T923" s="25"/>
      <c r="V923" s="26"/>
      <c r="W923" s="25"/>
      <c r="Y923" s="26"/>
      <c r="Z923" s="25"/>
      <c r="AB923" s="26"/>
    </row>
    <row r="924" spans="11:28">
      <c r="K924" s="25"/>
      <c r="M924" s="26"/>
      <c r="N924" s="25"/>
      <c r="P924" s="26"/>
      <c r="Q924" s="25"/>
      <c r="S924" s="26"/>
      <c r="T924" s="25"/>
      <c r="V924" s="26"/>
      <c r="W924" s="25"/>
      <c r="Y924" s="26"/>
      <c r="Z924" s="25"/>
      <c r="AB924" s="26"/>
    </row>
    <row r="925" spans="11:28">
      <c r="K925" s="25"/>
      <c r="M925" s="26"/>
      <c r="N925" s="25"/>
      <c r="P925" s="26"/>
      <c r="Q925" s="25"/>
      <c r="S925" s="26"/>
      <c r="T925" s="25"/>
      <c r="V925" s="26"/>
      <c r="W925" s="25"/>
      <c r="Y925" s="26"/>
      <c r="Z925" s="25"/>
      <c r="AB925" s="26"/>
    </row>
    <row r="926" spans="11:28">
      <c r="K926" s="25"/>
      <c r="M926" s="26"/>
      <c r="N926" s="25"/>
      <c r="P926" s="26"/>
      <c r="Q926" s="25"/>
      <c r="S926" s="26"/>
      <c r="T926" s="25"/>
      <c r="V926" s="26"/>
      <c r="W926" s="25"/>
      <c r="Y926" s="26"/>
      <c r="Z926" s="25"/>
      <c r="AB926" s="26"/>
    </row>
    <row r="927" spans="11:28">
      <c r="K927" s="25"/>
      <c r="M927" s="26"/>
      <c r="N927" s="25"/>
      <c r="P927" s="26"/>
      <c r="Q927" s="25"/>
      <c r="S927" s="26"/>
      <c r="T927" s="25"/>
      <c r="V927" s="26"/>
      <c r="W927" s="25"/>
      <c r="Y927" s="26"/>
      <c r="Z927" s="25"/>
      <c r="AB927" s="26"/>
    </row>
    <row r="928" spans="11:28">
      <c r="K928" s="25"/>
      <c r="M928" s="26"/>
      <c r="N928" s="25"/>
      <c r="P928" s="26"/>
      <c r="Q928" s="25"/>
      <c r="S928" s="26"/>
      <c r="T928" s="25"/>
      <c r="V928" s="26"/>
      <c r="W928" s="25"/>
      <c r="Y928" s="26"/>
      <c r="Z928" s="25"/>
      <c r="AB928" s="26"/>
    </row>
    <row r="929" spans="11:28">
      <c r="K929" s="25"/>
      <c r="M929" s="26"/>
      <c r="N929" s="25"/>
      <c r="P929" s="26"/>
      <c r="Q929" s="25"/>
      <c r="S929" s="26"/>
      <c r="T929" s="25"/>
      <c r="V929" s="26"/>
      <c r="W929" s="25"/>
      <c r="Y929" s="26"/>
      <c r="Z929" s="25"/>
      <c r="AB929" s="26"/>
    </row>
    <row r="930" spans="11:28">
      <c r="K930" s="25"/>
      <c r="M930" s="26"/>
      <c r="N930" s="25"/>
      <c r="P930" s="26"/>
      <c r="Q930" s="25"/>
      <c r="S930" s="26"/>
      <c r="T930" s="25"/>
      <c r="V930" s="26"/>
      <c r="W930" s="25"/>
      <c r="Y930" s="26"/>
      <c r="Z930" s="25"/>
      <c r="AB930" s="26"/>
    </row>
    <row r="931" spans="11:28">
      <c r="K931" s="25"/>
      <c r="M931" s="26"/>
      <c r="N931" s="25"/>
      <c r="P931" s="26"/>
      <c r="Q931" s="25"/>
      <c r="S931" s="26"/>
      <c r="T931" s="25"/>
      <c r="V931" s="26"/>
      <c r="W931" s="25"/>
      <c r="Y931" s="26"/>
      <c r="Z931" s="25"/>
      <c r="AB931" s="26"/>
    </row>
    <row r="932" spans="11:28">
      <c r="K932" s="25"/>
      <c r="M932" s="26"/>
      <c r="N932" s="25"/>
      <c r="P932" s="26"/>
      <c r="Q932" s="25"/>
      <c r="S932" s="26"/>
      <c r="T932" s="25"/>
      <c r="V932" s="26"/>
      <c r="W932" s="25"/>
      <c r="Y932" s="26"/>
      <c r="Z932" s="25"/>
      <c r="AB932" s="26"/>
    </row>
    <row r="933" spans="11:28">
      <c r="K933" s="25"/>
      <c r="M933" s="26"/>
      <c r="N933" s="25"/>
      <c r="P933" s="26"/>
      <c r="Q933" s="25"/>
      <c r="S933" s="26"/>
      <c r="T933" s="25"/>
      <c r="V933" s="26"/>
      <c r="W933" s="25"/>
      <c r="Y933" s="26"/>
      <c r="Z933" s="25"/>
      <c r="AB933" s="26"/>
    </row>
    <row r="934" spans="11:28">
      <c r="K934" s="25"/>
      <c r="M934" s="26"/>
      <c r="N934" s="25"/>
      <c r="P934" s="26"/>
      <c r="Q934" s="25"/>
      <c r="S934" s="26"/>
      <c r="T934" s="25"/>
      <c r="V934" s="26"/>
      <c r="W934" s="25"/>
      <c r="Y934" s="26"/>
      <c r="Z934" s="25"/>
      <c r="AB934" s="26"/>
    </row>
    <row r="935" spans="11:28">
      <c r="K935" s="25"/>
      <c r="M935" s="26"/>
      <c r="N935" s="25"/>
      <c r="P935" s="26"/>
      <c r="Q935" s="25"/>
      <c r="S935" s="26"/>
      <c r="T935" s="25"/>
      <c r="V935" s="26"/>
      <c r="W935" s="25"/>
      <c r="Y935" s="26"/>
      <c r="Z935" s="25"/>
      <c r="AB935" s="26"/>
    </row>
    <row r="936" spans="11:28">
      <c r="K936" s="25"/>
      <c r="M936" s="26"/>
      <c r="N936" s="25"/>
      <c r="P936" s="26"/>
      <c r="Q936" s="25"/>
      <c r="S936" s="26"/>
      <c r="T936" s="25"/>
      <c r="V936" s="26"/>
      <c r="W936" s="25"/>
      <c r="Y936" s="26"/>
      <c r="Z936" s="25"/>
      <c r="AB936" s="26"/>
    </row>
    <row r="937" spans="11:28">
      <c r="K937" s="25"/>
      <c r="M937" s="26"/>
      <c r="N937" s="25"/>
      <c r="P937" s="26"/>
      <c r="Q937" s="25"/>
      <c r="S937" s="26"/>
      <c r="T937" s="25"/>
      <c r="V937" s="26"/>
      <c r="W937" s="25"/>
      <c r="Y937" s="26"/>
      <c r="Z937" s="25"/>
      <c r="AB937" s="26"/>
    </row>
    <row r="938" spans="11:28">
      <c r="K938" s="25"/>
      <c r="M938" s="26"/>
      <c r="N938" s="25"/>
      <c r="P938" s="26"/>
      <c r="Q938" s="25"/>
      <c r="S938" s="26"/>
      <c r="T938" s="25"/>
      <c r="V938" s="26"/>
      <c r="W938" s="25"/>
      <c r="Y938" s="26"/>
      <c r="Z938" s="25"/>
      <c r="AB938" s="26"/>
    </row>
    <row r="939" spans="11:28">
      <c r="K939" s="25"/>
      <c r="M939" s="26"/>
      <c r="N939" s="25"/>
      <c r="P939" s="26"/>
      <c r="Q939" s="25"/>
      <c r="S939" s="26"/>
      <c r="T939" s="25"/>
      <c r="V939" s="26"/>
      <c r="W939" s="25"/>
      <c r="Y939" s="26"/>
      <c r="Z939" s="25"/>
      <c r="AB939" s="26"/>
    </row>
    <row r="940" spans="11:28">
      <c r="K940" s="25"/>
      <c r="M940" s="26"/>
      <c r="N940" s="25"/>
      <c r="P940" s="26"/>
      <c r="Q940" s="25"/>
      <c r="S940" s="26"/>
      <c r="T940" s="25"/>
      <c r="V940" s="26"/>
      <c r="W940" s="25"/>
      <c r="Y940" s="26"/>
      <c r="Z940" s="25"/>
      <c r="AB940" s="26"/>
    </row>
    <row r="941" spans="11:28">
      <c r="K941" s="25"/>
      <c r="M941" s="26"/>
      <c r="N941" s="25"/>
      <c r="P941" s="26"/>
      <c r="Q941" s="25"/>
      <c r="S941" s="26"/>
      <c r="T941" s="25"/>
      <c r="V941" s="26"/>
      <c r="W941" s="25"/>
      <c r="Y941" s="26"/>
      <c r="Z941" s="25"/>
      <c r="AB941" s="26"/>
    </row>
    <row r="942" spans="11:28">
      <c r="K942" s="25"/>
      <c r="M942" s="26"/>
      <c r="N942" s="25"/>
      <c r="P942" s="26"/>
      <c r="Q942" s="25"/>
      <c r="S942" s="26"/>
      <c r="T942" s="25"/>
      <c r="V942" s="26"/>
      <c r="W942" s="25"/>
      <c r="Y942" s="26"/>
      <c r="Z942" s="25"/>
      <c r="AB942" s="26"/>
    </row>
    <row r="943" spans="11:28">
      <c r="K943" s="25"/>
      <c r="M943" s="26"/>
      <c r="N943" s="25"/>
      <c r="P943" s="26"/>
      <c r="Q943" s="25"/>
      <c r="S943" s="26"/>
      <c r="T943" s="25"/>
      <c r="V943" s="26"/>
      <c r="W943" s="25"/>
      <c r="Y943" s="26"/>
      <c r="Z943" s="25"/>
      <c r="AB943" s="26"/>
    </row>
    <row r="944" spans="11:28">
      <c r="K944" s="25"/>
      <c r="M944" s="26"/>
      <c r="N944" s="25"/>
      <c r="P944" s="26"/>
      <c r="Q944" s="25"/>
      <c r="S944" s="26"/>
      <c r="T944" s="25"/>
      <c r="V944" s="26"/>
      <c r="W944" s="25"/>
      <c r="Y944" s="26"/>
      <c r="Z944" s="25"/>
      <c r="AB944" s="26"/>
    </row>
    <row r="945" spans="11:28">
      <c r="K945" s="25"/>
      <c r="M945" s="26"/>
      <c r="N945" s="25"/>
      <c r="P945" s="26"/>
      <c r="Q945" s="25"/>
      <c r="S945" s="26"/>
      <c r="T945" s="25"/>
      <c r="V945" s="26"/>
      <c r="W945" s="25"/>
      <c r="Y945" s="26"/>
      <c r="Z945" s="25"/>
      <c r="AB945" s="26"/>
    </row>
    <row r="946" spans="11:28">
      <c r="K946" s="25"/>
      <c r="M946" s="26"/>
      <c r="N946" s="25"/>
      <c r="P946" s="26"/>
      <c r="Q946" s="25"/>
      <c r="S946" s="26"/>
      <c r="T946" s="25"/>
      <c r="V946" s="26"/>
      <c r="W946" s="25"/>
      <c r="Y946" s="26"/>
      <c r="Z946" s="25"/>
      <c r="AB946" s="26"/>
    </row>
    <row r="947" spans="11:28">
      <c r="K947" s="25"/>
      <c r="M947" s="26"/>
      <c r="N947" s="25"/>
      <c r="P947" s="26"/>
      <c r="Q947" s="25"/>
      <c r="S947" s="26"/>
      <c r="T947" s="25"/>
      <c r="V947" s="26"/>
      <c r="W947" s="25"/>
      <c r="Y947" s="26"/>
      <c r="Z947" s="25"/>
      <c r="AB947" s="26"/>
    </row>
    <row r="948" spans="11:28">
      <c r="K948" s="25"/>
      <c r="M948" s="26"/>
      <c r="N948" s="25"/>
      <c r="P948" s="26"/>
      <c r="Q948" s="25"/>
      <c r="S948" s="26"/>
      <c r="T948" s="25"/>
      <c r="V948" s="26"/>
      <c r="W948" s="25"/>
      <c r="Y948" s="26"/>
      <c r="Z948" s="25"/>
      <c r="AB948" s="26"/>
    </row>
    <row r="949" spans="11:28">
      <c r="K949" s="25"/>
      <c r="M949" s="26"/>
      <c r="N949" s="25"/>
      <c r="P949" s="26"/>
      <c r="Q949" s="25"/>
      <c r="S949" s="26"/>
      <c r="T949" s="25"/>
      <c r="V949" s="26"/>
      <c r="W949" s="25"/>
      <c r="Y949" s="26"/>
      <c r="Z949" s="25"/>
      <c r="AB949" s="26"/>
    </row>
    <row r="950" spans="11:28">
      <c r="K950" s="25"/>
      <c r="M950" s="26"/>
      <c r="N950" s="25"/>
      <c r="P950" s="26"/>
      <c r="Q950" s="25"/>
      <c r="S950" s="26"/>
      <c r="T950" s="25"/>
      <c r="V950" s="26"/>
      <c r="W950" s="25"/>
      <c r="Y950" s="26"/>
      <c r="Z950" s="25"/>
      <c r="AB950" s="26"/>
    </row>
    <row r="951" spans="11:28">
      <c r="K951" s="25"/>
      <c r="M951" s="26"/>
      <c r="N951" s="25"/>
      <c r="P951" s="26"/>
      <c r="Q951" s="25"/>
      <c r="S951" s="26"/>
      <c r="T951" s="25"/>
      <c r="V951" s="26"/>
      <c r="W951" s="25"/>
      <c r="Y951" s="26"/>
      <c r="Z951" s="25"/>
      <c r="AB951" s="26"/>
    </row>
    <row r="952" spans="11:28">
      <c r="K952" s="25"/>
      <c r="M952" s="26"/>
      <c r="N952" s="25"/>
      <c r="P952" s="26"/>
      <c r="Q952" s="25"/>
      <c r="S952" s="26"/>
      <c r="T952" s="25"/>
      <c r="V952" s="26"/>
      <c r="W952" s="25"/>
      <c r="Y952" s="26"/>
      <c r="Z952" s="25"/>
      <c r="AB952" s="26"/>
    </row>
    <row r="953" spans="11:28">
      <c r="K953" s="25"/>
      <c r="M953" s="26"/>
      <c r="N953" s="25"/>
      <c r="P953" s="26"/>
      <c r="Q953" s="25"/>
      <c r="S953" s="26"/>
      <c r="T953" s="25"/>
      <c r="V953" s="26"/>
      <c r="W953" s="25"/>
      <c r="Y953" s="26"/>
      <c r="Z953" s="25"/>
      <c r="AB953" s="26"/>
    </row>
    <row r="954" spans="11:28">
      <c r="K954" s="25"/>
      <c r="M954" s="26"/>
      <c r="N954" s="25"/>
      <c r="P954" s="26"/>
      <c r="Q954" s="25"/>
      <c r="S954" s="26"/>
      <c r="T954" s="25"/>
      <c r="V954" s="26"/>
      <c r="W954" s="25"/>
      <c r="Y954" s="26"/>
      <c r="Z954" s="25"/>
      <c r="AB954" s="26"/>
    </row>
    <row r="955" spans="11:28">
      <c r="K955" s="25"/>
      <c r="M955" s="26"/>
      <c r="N955" s="25"/>
      <c r="P955" s="26"/>
      <c r="Q955" s="25"/>
      <c r="S955" s="26"/>
      <c r="T955" s="25"/>
      <c r="V955" s="26"/>
      <c r="W955" s="25"/>
      <c r="Y955" s="26"/>
      <c r="Z955" s="25"/>
      <c r="AB955" s="26"/>
    </row>
    <row r="956" spans="11:28">
      <c r="K956" s="25"/>
      <c r="M956" s="26"/>
      <c r="N956" s="25"/>
      <c r="P956" s="26"/>
      <c r="Q956" s="25"/>
      <c r="S956" s="26"/>
      <c r="T956" s="25"/>
      <c r="V956" s="26"/>
      <c r="W956" s="25"/>
      <c r="Y956" s="26"/>
      <c r="Z956" s="25"/>
      <c r="AB956" s="26"/>
    </row>
    <row r="957" spans="11:28">
      <c r="K957" s="25"/>
      <c r="M957" s="26"/>
      <c r="N957" s="25"/>
      <c r="P957" s="26"/>
      <c r="Q957" s="25"/>
      <c r="S957" s="26"/>
      <c r="T957" s="25"/>
      <c r="V957" s="26"/>
      <c r="W957" s="25"/>
      <c r="Y957" s="26"/>
      <c r="Z957" s="25"/>
      <c r="AB957" s="26"/>
    </row>
    <row r="958" spans="11:28">
      <c r="K958" s="25"/>
      <c r="M958" s="26"/>
      <c r="N958" s="25"/>
      <c r="P958" s="26"/>
      <c r="Q958" s="25"/>
      <c r="S958" s="26"/>
      <c r="T958" s="25"/>
      <c r="V958" s="26"/>
      <c r="W958" s="25"/>
      <c r="Y958" s="26"/>
      <c r="Z958" s="25"/>
      <c r="AB958" s="26"/>
    </row>
    <row r="959" spans="11:28">
      <c r="K959" s="25"/>
      <c r="M959" s="26"/>
      <c r="N959" s="25"/>
      <c r="P959" s="26"/>
      <c r="Q959" s="25"/>
      <c r="S959" s="26"/>
      <c r="T959" s="25"/>
      <c r="V959" s="26"/>
      <c r="W959" s="25"/>
      <c r="Y959" s="26"/>
      <c r="Z959" s="25"/>
      <c r="AB959" s="26"/>
    </row>
    <row r="960" spans="11:28">
      <c r="K960" s="25"/>
      <c r="M960" s="26"/>
      <c r="N960" s="25"/>
      <c r="P960" s="26"/>
      <c r="Q960" s="25"/>
      <c r="S960" s="26"/>
      <c r="T960" s="25"/>
      <c r="V960" s="26"/>
      <c r="W960" s="25"/>
      <c r="Y960" s="26"/>
      <c r="Z960" s="25"/>
      <c r="AB960" s="26"/>
    </row>
    <row r="961" spans="11:28">
      <c r="K961" s="25"/>
      <c r="M961" s="26"/>
      <c r="N961" s="25"/>
      <c r="P961" s="26"/>
      <c r="Q961" s="25"/>
      <c r="S961" s="26"/>
      <c r="T961" s="25"/>
      <c r="V961" s="26"/>
      <c r="W961" s="25"/>
      <c r="Y961" s="26"/>
      <c r="Z961" s="25"/>
      <c r="AB961" s="26"/>
    </row>
    <row r="962" spans="11:28">
      <c r="K962" s="25"/>
      <c r="M962" s="26"/>
      <c r="N962" s="25"/>
      <c r="P962" s="26"/>
      <c r="Q962" s="25"/>
      <c r="S962" s="26"/>
      <c r="T962" s="25"/>
      <c r="V962" s="26"/>
      <c r="W962" s="25"/>
      <c r="Y962" s="26"/>
      <c r="Z962" s="25"/>
      <c r="AB962" s="26"/>
    </row>
    <row r="963" spans="11:28">
      <c r="K963" s="25"/>
      <c r="M963" s="26"/>
      <c r="N963" s="25"/>
      <c r="P963" s="26"/>
      <c r="Q963" s="25"/>
      <c r="S963" s="26"/>
      <c r="T963" s="25"/>
      <c r="V963" s="26"/>
      <c r="W963" s="25"/>
      <c r="Y963" s="26"/>
      <c r="Z963" s="25"/>
      <c r="AB963" s="26"/>
    </row>
    <row r="964" spans="11:28">
      <c r="K964" s="25"/>
      <c r="M964" s="26"/>
      <c r="N964" s="25"/>
      <c r="P964" s="26"/>
      <c r="Q964" s="25"/>
      <c r="S964" s="26"/>
      <c r="T964" s="25"/>
      <c r="V964" s="26"/>
      <c r="W964" s="25"/>
      <c r="Y964" s="26"/>
      <c r="Z964" s="25"/>
      <c r="AB964" s="26"/>
    </row>
    <row r="965" spans="11:28">
      <c r="K965" s="25"/>
      <c r="M965" s="26"/>
      <c r="N965" s="25"/>
      <c r="P965" s="26"/>
      <c r="Q965" s="25"/>
      <c r="S965" s="26"/>
      <c r="T965" s="25"/>
      <c r="V965" s="26"/>
      <c r="W965" s="25"/>
      <c r="Y965" s="26"/>
      <c r="Z965" s="25"/>
      <c r="AB965" s="26"/>
    </row>
    <row r="966" spans="11:28">
      <c r="K966" s="25"/>
      <c r="M966" s="26"/>
      <c r="N966" s="25"/>
      <c r="P966" s="26"/>
      <c r="Q966" s="25"/>
      <c r="S966" s="26"/>
      <c r="T966" s="25"/>
      <c r="V966" s="26"/>
      <c r="W966" s="25"/>
      <c r="Y966" s="26"/>
      <c r="Z966" s="25"/>
      <c r="AB966" s="26"/>
    </row>
    <row r="967" spans="11:28">
      <c r="K967" s="25"/>
      <c r="M967" s="26"/>
      <c r="N967" s="25"/>
      <c r="P967" s="26"/>
      <c r="Q967" s="25"/>
      <c r="S967" s="26"/>
      <c r="T967" s="25"/>
      <c r="V967" s="26"/>
      <c r="W967" s="25"/>
      <c r="Y967" s="26"/>
      <c r="Z967" s="25"/>
      <c r="AB967" s="26"/>
    </row>
    <row r="968" spans="11:28">
      <c r="K968" s="25"/>
      <c r="M968" s="26"/>
      <c r="N968" s="25"/>
      <c r="P968" s="26"/>
      <c r="Q968" s="25"/>
      <c r="S968" s="26"/>
      <c r="T968" s="25"/>
      <c r="V968" s="26"/>
      <c r="W968" s="25"/>
      <c r="Y968" s="26"/>
      <c r="Z968" s="25"/>
      <c r="AB968" s="26"/>
    </row>
    <row r="969" spans="11:28">
      <c r="K969" s="25"/>
      <c r="M969" s="26"/>
      <c r="N969" s="25"/>
      <c r="P969" s="26"/>
      <c r="Q969" s="25"/>
      <c r="S969" s="26"/>
      <c r="T969" s="25"/>
      <c r="V969" s="26"/>
      <c r="W969" s="25"/>
      <c r="Y969" s="26"/>
      <c r="Z969" s="25"/>
      <c r="AB969" s="26"/>
    </row>
    <row r="970" spans="11:28">
      <c r="K970" s="25"/>
      <c r="M970" s="26"/>
      <c r="N970" s="25"/>
      <c r="P970" s="26"/>
      <c r="Q970" s="25"/>
      <c r="S970" s="26"/>
      <c r="T970" s="25"/>
      <c r="V970" s="26"/>
      <c r="W970" s="25"/>
      <c r="Y970" s="26"/>
      <c r="Z970" s="25"/>
      <c r="AB970" s="26"/>
    </row>
    <row r="971" spans="11:28">
      <c r="K971" s="25"/>
      <c r="M971" s="26"/>
      <c r="N971" s="25"/>
      <c r="P971" s="26"/>
      <c r="Q971" s="25"/>
      <c r="S971" s="26"/>
      <c r="T971" s="25"/>
      <c r="V971" s="26"/>
      <c r="W971" s="25"/>
      <c r="Y971" s="26"/>
      <c r="Z971" s="25"/>
      <c r="AB971" s="26"/>
    </row>
    <row r="972" spans="11:28">
      <c r="K972" s="25"/>
      <c r="M972" s="26"/>
      <c r="N972" s="25"/>
      <c r="P972" s="26"/>
      <c r="Q972" s="25"/>
      <c r="S972" s="26"/>
      <c r="T972" s="25"/>
      <c r="V972" s="26"/>
      <c r="W972" s="25"/>
      <c r="Y972" s="26"/>
      <c r="Z972" s="25"/>
      <c r="AB972" s="26"/>
    </row>
    <row r="973" spans="11:28">
      <c r="K973" s="25"/>
      <c r="M973" s="26"/>
      <c r="N973" s="25"/>
      <c r="P973" s="26"/>
      <c r="Q973" s="25"/>
      <c r="S973" s="26"/>
      <c r="T973" s="25"/>
      <c r="V973" s="26"/>
      <c r="W973" s="25"/>
      <c r="Y973" s="26"/>
      <c r="Z973" s="25"/>
      <c r="AB973" s="26"/>
    </row>
    <row r="974" spans="11:28">
      <c r="K974" s="25"/>
      <c r="M974" s="26"/>
      <c r="N974" s="25"/>
      <c r="P974" s="26"/>
      <c r="Q974" s="25"/>
      <c r="S974" s="26"/>
      <c r="T974" s="25"/>
      <c r="V974" s="26"/>
      <c r="W974" s="25"/>
      <c r="Y974" s="26"/>
      <c r="Z974" s="25"/>
      <c r="AB974" s="26"/>
    </row>
    <row r="975" spans="11:28">
      <c r="K975" s="25"/>
      <c r="M975" s="26"/>
      <c r="N975" s="25"/>
      <c r="P975" s="26"/>
      <c r="Q975" s="25"/>
      <c r="S975" s="26"/>
      <c r="T975" s="25"/>
      <c r="V975" s="26"/>
      <c r="W975" s="25"/>
      <c r="Y975" s="26"/>
      <c r="Z975" s="25"/>
      <c r="AB975" s="26"/>
    </row>
    <row r="976" spans="11:28">
      <c r="K976" s="25"/>
      <c r="M976" s="26"/>
      <c r="N976" s="25"/>
      <c r="P976" s="26"/>
      <c r="Q976" s="25"/>
      <c r="S976" s="26"/>
      <c r="T976" s="25"/>
      <c r="V976" s="26"/>
      <c r="W976" s="25"/>
      <c r="Y976" s="26"/>
      <c r="Z976" s="25"/>
      <c r="AB976" s="26"/>
    </row>
    <row r="977" spans="11:28">
      <c r="K977" s="25"/>
      <c r="M977" s="26"/>
      <c r="N977" s="25"/>
      <c r="P977" s="26"/>
      <c r="Q977" s="25"/>
      <c r="S977" s="26"/>
      <c r="T977" s="25"/>
      <c r="V977" s="26"/>
      <c r="W977" s="25"/>
      <c r="Y977" s="26"/>
      <c r="Z977" s="25"/>
      <c r="AB977" s="26"/>
    </row>
    <row r="978" spans="11:28">
      <c r="K978" s="25"/>
      <c r="M978" s="26"/>
      <c r="N978" s="25"/>
      <c r="P978" s="26"/>
      <c r="Q978" s="25"/>
      <c r="S978" s="26"/>
      <c r="T978" s="25"/>
      <c r="V978" s="26"/>
      <c r="W978" s="25"/>
      <c r="Y978" s="26"/>
      <c r="Z978" s="25"/>
      <c r="AB978" s="26"/>
    </row>
    <row r="979" spans="11:28">
      <c r="K979" s="25"/>
      <c r="M979" s="26"/>
      <c r="N979" s="25"/>
      <c r="P979" s="26"/>
      <c r="Q979" s="25"/>
      <c r="S979" s="26"/>
      <c r="T979" s="25"/>
      <c r="V979" s="26"/>
      <c r="W979" s="25"/>
      <c r="Y979" s="26"/>
      <c r="Z979" s="25"/>
      <c r="AB979" s="26"/>
    </row>
    <row r="980" spans="11:28">
      <c r="K980" s="25"/>
      <c r="M980" s="26"/>
      <c r="N980" s="25"/>
      <c r="P980" s="26"/>
      <c r="Q980" s="25"/>
      <c r="S980" s="26"/>
      <c r="T980" s="25"/>
      <c r="V980" s="26"/>
      <c r="W980" s="25"/>
      <c r="Y980" s="26"/>
      <c r="Z980" s="25"/>
      <c r="AB980" s="26"/>
    </row>
    <row r="981" spans="11:28">
      <c r="K981" s="25"/>
      <c r="M981" s="26"/>
      <c r="N981" s="25"/>
      <c r="P981" s="26"/>
      <c r="Q981" s="25"/>
      <c r="S981" s="26"/>
      <c r="T981" s="25"/>
      <c r="V981" s="26"/>
      <c r="W981" s="25"/>
      <c r="Y981" s="26"/>
      <c r="Z981" s="25"/>
      <c r="AB981" s="26"/>
    </row>
    <row r="982" spans="11:28">
      <c r="K982" s="25"/>
      <c r="M982" s="26"/>
      <c r="N982" s="25"/>
      <c r="P982" s="26"/>
      <c r="Q982" s="25"/>
      <c r="S982" s="26"/>
      <c r="T982" s="25"/>
      <c r="V982" s="26"/>
      <c r="W982" s="25"/>
      <c r="Y982" s="26"/>
      <c r="Z982" s="25"/>
      <c r="AB982" s="26"/>
    </row>
    <row r="983" spans="11:28">
      <c r="K983" s="25"/>
      <c r="M983" s="26"/>
      <c r="N983" s="25"/>
      <c r="P983" s="26"/>
      <c r="Q983" s="25"/>
      <c r="S983" s="26"/>
      <c r="T983" s="25"/>
      <c r="V983" s="26"/>
      <c r="W983" s="25"/>
      <c r="Y983" s="26"/>
      <c r="Z983" s="25"/>
      <c r="AB983" s="26"/>
    </row>
    <row r="984" spans="11:28">
      <c r="K984" s="25"/>
      <c r="M984" s="26"/>
      <c r="N984" s="25"/>
      <c r="P984" s="26"/>
      <c r="Q984" s="25"/>
      <c r="S984" s="26"/>
      <c r="T984" s="25"/>
      <c r="V984" s="26"/>
      <c r="W984" s="25"/>
      <c r="Y984" s="26"/>
      <c r="Z984" s="25"/>
      <c r="AB984" s="26"/>
    </row>
    <row r="985" spans="11:28">
      <c r="K985" s="25"/>
      <c r="M985" s="26"/>
      <c r="N985" s="25"/>
      <c r="P985" s="26"/>
      <c r="Q985" s="25"/>
      <c r="S985" s="26"/>
      <c r="T985" s="25"/>
      <c r="V985" s="26"/>
      <c r="W985" s="25"/>
      <c r="Y985" s="26"/>
      <c r="Z985" s="25"/>
      <c r="AB985" s="26"/>
    </row>
    <row r="986" spans="11:28">
      <c r="K986" s="25"/>
      <c r="M986" s="26"/>
      <c r="N986" s="25"/>
      <c r="P986" s="26"/>
      <c r="Q986" s="25"/>
      <c r="S986" s="26"/>
      <c r="T986" s="25"/>
      <c r="V986" s="26"/>
      <c r="W986" s="25"/>
      <c r="Y986" s="26"/>
      <c r="Z986" s="25"/>
      <c r="AB986" s="26"/>
    </row>
    <row r="987" spans="11:28">
      <c r="K987" s="25"/>
      <c r="M987" s="26"/>
      <c r="N987" s="25"/>
      <c r="P987" s="26"/>
      <c r="Q987" s="25"/>
      <c r="S987" s="26"/>
      <c r="T987" s="25"/>
      <c r="V987" s="26"/>
      <c r="W987" s="25"/>
      <c r="Y987" s="26"/>
      <c r="Z987" s="25"/>
      <c r="AB987" s="26"/>
    </row>
    <row r="988" spans="11:28">
      <c r="K988" s="25"/>
      <c r="M988" s="26"/>
      <c r="N988" s="25"/>
      <c r="P988" s="26"/>
      <c r="Q988" s="25"/>
      <c r="S988" s="26"/>
      <c r="T988" s="25"/>
      <c r="V988" s="26"/>
      <c r="W988" s="25"/>
      <c r="Y988" s="26"/>
      <c r="Z988" s="25"/>
      <c r="AB988" s="26"/>
    </row>
    <row r="989" spans="11:28">
      <c r="K989" s="25"/>
      <c r="M989" s="26"/>
      <c r="N989" s="25"/>
      <c r="P989" s="26"/>
      <c r="Q989" s="25"/>
      <c r="S989" s="26"/>
      <c r="T989" s="25"/>
      <c r="V989" s="26"/>
      <c r="W989" s="25"/>
      <c r="Y989" s="26"/>
      <c r="Z989" s="25"/>
      <c r="AB989" s="26"/>
    </row>
    <row r="990" spans="11:28">
      <c r="K990" s="25"/>
      <c r="M990" s="26"/>
      <c r="N990" s="25"/>
      <c r="P990" s="26"/>
      <c r="Q990" s="25"/>
      <c r="S990" s="26"/>
      <c r="T990" s="25"/>
      <c r="V990" s="26"/>
      <c r="W990" s="25"/>
      <c r="Y990" s="26"/>
      <c r="Z990" s="25"/>
      <c r="AB990" s="26"/>
    </row>
    <row r="991" spans="11:28">
      <c r="K991" s="25"/>
      <c r="M991" s="26"/>
      <c r="N991" s="25"/>
      <c r="P991" s="26"/>
      <c r="Q991" s="25"/>
      <c r="S991" s="26"/>
      <c r="T991" s="25"/>
      <c r="V991" s="26"/>
      <c r="W991" s="25"/>
      <c r="Y991" s="26"/>
      <c r="Z991" s="25"/>
      <c r="AB991" s="26"/>
    </row>
    <row r="992" spans="11:28">
      <c r="K992" s="25"/>
      <c r="M992" s="26"/>
      <c r="N992" s="25"/>
      <c r="P992" s="26"/>
      <c r="Q992" s="25"/>
      <c r="S992" s="26"/>
      <c r="T992" s="25"/>
      <c r="V992" s="26"/>
      <c r="W992" s="25"/>
      <c r="Y992" s="26"/>
      <c r="Z992" s="25"/>
      <c r="AB992" s="26"/>
    </row>
    <row r="993" spans="11:28">
      <c r="K993" s="25"/>
      <c r="M993" s="26"/>
      <c r="N993" s="25"/>
      <c r="P993" s="26"/>
      <c r="Q993" s="25"/>
      <c r="S993" s="26"/>
      <c r="T993" s="25"/>
      <c r="V993" s="26"/>
      <c r="W993" s="25"/>
      <c r="Y993" s="26"/>
      <c r="Z993" s="25"/>
      <c r="AB993" s="26"/>
    </row>
    <row r="994" spans="11:28">
      <c r="K994" s="25"/>
      <c r="M994" s="26"/>
      <c r="N994" s="25"/>
      <c r="P994" s="26"/>
      <c r="Q994" s="25"/>
      <c r="S994" s="26"/>
      <c r="T994" s="25"/>
      <c r="V994" s="26"/>
      <c r="W994" s="25"/>
      <c r="Y994" s="26"/>
      <c r="Z994" s="25"/>
      <c r="AB994" s="26"/>
    </row>
    <row r="995" spans="11:28">
      <c r="K995" s="25"/>
      <c r="M995" s="26"/>
      <c r="N995" s="25"/>
      <c r="P995" s="26"/>
      <c r="Q995" s="25"/>
      <c r="S995" s="26"/>
      <c r="T995" s="25"/>
      <c r="V995" s="26"/>
      <c r="W995" s="25"/>
      <c r="Y995" s="26"/>
      <c r="Z995" s="25"/>
      <c r="AB995" s="26"/>
    </row>
    <row r="996" spans="11:28">
      <c r="K996" s="25"/>
      <c r="M996" s="26"/>
      <c r="N996" s="25"/>
      <c r="P996" s="26"/>
      <c r="Q996" s="25"/>
      <c r="S996" s="26"/>
      <c r="T996" s="25"/>
      <c r="V996" s="26"/>
      <c r="W996" s="25"/>
      <c r="Y996" s="26"/>
      <c r="Z996" s="25"/>
      <c r="AB996" s="26"/>
    </row>
    <row r="997" spans="11:28">
      <c r="K997" s="25"/>
      <c r="M997" s="26"/>
      <c r="N997" s="25"/>
      <c r="P997" s="26"/>
      <c r="Q997" s="25"/>
      <c r="S997" s="26"/>
      <c r="T997" s="25"/>
      <c r="V997" s="26"/>
      <c r="W997" s="25"/>
      <c r="Y997" s="26"/>
      <c r="Z997" s="25"/>
      <c r="AB997" s="26"/>
    </row>
    <row r="998" spans="11:28">
      <c r="K998" s="25"/>
      <c r="M998" s="26"/>
      <c r="N998" s="25"/>
      <c r="P998" s="26"/>
      <c r="Q998" s="25"/>
      <c r="S998" s="26"/>
      <c r="T998" s="25"/>
      <c r="V998" s="26"/>
      <c r="W998" s="25"/>
      <c r="Y998" s="26"/>
      <c r="Z998" s="25"/>
      <c r="AB998" s="26"/>
    </row>
    <row r="999" spans="11:28">
      <c r="K999" s="25"/>
      <c r="M999" s="26"/>
      <c r="N999" s="25"/>
      <c r="P999" s="26"/>
      <c r="Q999" s="25"/>
      <c r="S999" s="26"/>
      <c r="T999" s="25"/>
      <c r="V999" s="26"/>
      <c r="W999" s="25"/>
      <c r="Y999" s="26"/>
      <c r="Z999" s="25"/>
      <c r="AB999" s="26"/>
    </row>
    <row r="1000" spans="11:28">
      <c r="K1000" s="25"/>
      <c r="M1000" s="26"/>
      <c r="N1000" s="25"/>
      <c r="P1000" s="26"/>
      <c r="Q1000" s="25"/>
      <c r="S1000" s="26"/>
      <c r="T1000" s="25"/>
      <c r="V1000" s="26"/>
      <c r="W1000" s="25"/>
      <c r="Y1000" s="26"/>
      <c r="Z1000" s="25"/>
      <c r="AB1000" s="26"/>
    </row>
    <row r="1001" spans="11:28">
      <c r="K1001" s="25"/>
      <c r="M1001" s="26"/>
      <c r="N1001" s="25"/>
      <c r="P1001" s="26"/>
      <c r="Q1001" s="25"/>
      <c r="S1001" s="26"/>
      <c r="T1001" s="25"/>
      <c r="V1001" s="26"/>
      <c r="W1001" s="25"/>
      <c r="Y1001" s="26"/>
      <c r="Z1001" s="25"/>
      <c r="AB1001" s="26"/>
    </row>
    <row r="1002" spans="11:28">
      <c r="K1002" s="25"/>
      <c r="M1002" s="26"/>
      <c r="N1002" s="25"/>
      <c r="P1002" s="26"/>
      <c r="Q1002" s="25"/>
      <c r="S1002" s="26"/>
      <c r="T1002" s="25"/>
      <c r="V1002" s="26"/>
      <c r="W1002" s="25"/>
      <c r="Y1002" s="26"/>
      <c r="Z1002" s="25"/>
      <c r="AB1002" s="26"/>
    </row>
    <row r="1003" spans="11:28">
      <c r="K1003" s="25"/>
      <c r="M1003" s="26"/>
      <c r="N1003" s="25"/>
      <c r="P1003" s="26"/>
      <c r="Q1003" s="25"/>
      <c r="S1003" s="26"/>
      <c r="T1003" s="25"/>
      <c r="V1003" s="26"/>
      <c r="W1003" s="25"/>
      <c r="Y1003" s="26"/>
      <c r="Z1003" s="25"/>
      <c r="AB1003" s="26"/>
    </row>
    <row r="1004" spans="11:28">
      <c r="K1004" s="25"/>
      <c r="M1004" s="26"/>
      <c r="N1004" s="25"/>
      <c r="P1004" s="26"/>
      <c r="Q1004" s="25"/>
      <c r="S1004" s="26"/>
      <c r="T1004" s="25"/>
      <c r="V1004" s="26"/>
      <c r="W1004" s="25"/>
      <c r="Y1004" s="26"/>
      <c r="Z1004" s="25"/>
      <c r="AB1004" s="26"/>
    </row>
    <row r="1005" spans="11:28">
      <c r="K1005" s="25"/>
      <c r="M1005" s="26"/>
      <c r="N1005" s="25"/>
      <c r="P1005" s="26"/>
      <c r="Q1005" s="25"/>
      <c r="S1005" s="26"/>
      <c r="T1005" s="25"/>
      <c r="V1005" s="26"/>
      <c r="W1005" s="25"/>
      <c r="Y1005" s="26"/>
      <c r="Z1005" s="25"/>
      <c r="AB1005" s="26"/>
    </row>
    <row r="1006" spans="11:28">
      <c r="K1006" s="25"/>
      <c r="M1006" s="26"/>
      <c r="N1006" s="25"/>
      <c r="P1006" s="26"/>
      <c r="Q1006" s="25"/>
      <c r="S1006" s="26"/>
      <c r="T1006" s="25"/>
      <c r="V1006" s="26"/>
      <c r="W1006" s="25"/>
      <c r="Y1006" s="26"/>
      <c r="Z1006" s="25"/>
      <c r="AB1006" s="26"/>
    </row>
    <row r="1007" spans="11:28">
      <c r="K1007" s="25"/>
      <c r="M1007" s="26"/>
      <c r="N1007" s="25"/>
      <c r="P1007" s="26"/>
      <c r="Q1007" s="25"/>
      <c r="S1007" s="26"/>
      <c r="T1007" s="25"/>
      <c r="V1007" s="26"/>
      <c r="W1007" s="25"/>
      <c r="Y1007" s="26"/>
      <c r="Z1007" s="25"/>
      <c r="AB1007" s="26"/>
    </row>
    <row r="1008" spans="11:28">
      <c r="K1008" s="25"/>
      <c r="M1008" s="26"/>
      <c r="N1008" s="25"/>
      <c r="P1008" s="26"/>
      <c r="Q1008" s="25"/>
      <c r="S1008" s="26"/>
      <c r="T1008" s="25"/>
      <c r="V1008" s="26"/>
      <c r="W1008" s="25"/>
      <c r="Y1008" s="26"/>
      <c r="Z1008" s="25"/>
      <c r="AB1008" s="26"/>
    </row>
    <row r="1009" spans="11:28">
      <c r="K1009" s="25"/>
      <c r="M1009" s="26"/>
      <c r="N1009" s="25"/>
      <c r="P1009" s="26"/>
      <c r="Q1009" s="25"/>
      <c r="S1009" s="26"/>
      <c r="T1009" s="25"/>
      <c r="V1009" s="26"/>
      <c r="W1009" s="25"/>
      <c r="Y1009" s="26"/>
      <c r="Z1009" s="25"/>
      <c r="AB1009" s="26"/>
    </row>
    <row r="1010" spans="11:28">
      <c r="K1010" s="25"/>
      <c r="M1010" s="26"/>
      <c r="N1010" s="25"/>
      <c r="P1010" s="26"/>
      <c r="Q1010" s="25"/>
      <c r="S1010" s="26"/>
      <c r="T1010" s="25"/>
      <c r="V1010" s="26"/>
      <c r="W1010" s="25"/>
      <c r="Y1010" s="26"/>
      <c r="Z1010" s="25"/>
      <c r="AB1010" s="26"/>
    </row>
    <row r="1011" spans="11:28">
      <c r="K1011" s="25"/>
      <c r="M1011" s="26"/>
      <c r="N1011" s="25"/>
      <c r="P1011" s="26"/>
      <c r="Q1011" s="25"/>
      <c r="S1011" s="26"/>
      <c r="T1011" s="25"/>
      <c r="V1011" s="26"/>
      <c r="W1011" s="25"/>
      <c r="Y1011" s="26"/>
      <c r="Z1011" s="25"/>
      <c r="AB1011" s="26"/>
    </row>
    <row r="1012" spans="11:28">
      <c r="K1012" s="25"/>
      <c r="M1012" s="26"/>
      <c r="N1012" s="25"/>
      <c r="P1012" s="26"/>
      <c r="Q1012" s="25"/>
      <c r="S1012" s="26"/>
      <c r="T1012" s="25"/>
      <c r="V1012" s="26"/>
      <c r="W1012" s="25"/>
      <c r="Y1012" s="26"/>
      <c r="Z1012" s="25"/>
      <c r="AB1012" s="26"/>
    </row>
    <row r="1013" spans="11:28">
      <c r="K1013" s="25"/>
      <c r="M1013" s="26"/>
      <c r="N1013" s="25"/>
      <c r="P1013" s="26"/>
      <c r="Q1013" s="25"/>
      <c r="S1013" s="26"/>
      <c r="T1013" s="25"/>
      <c r="V1013" s="26"/>
      <c r="W1013" s="25"/>
      <c r="Y1013" s="26"/>
      <c r="Z1013" s="25"/>
      <c r="AB1013" s="26"/>
    </row>
    <row r="1014" spans="11:28">
      <c r="K1014" s="25"/>
      <c r="M1014" s="26"/>
      <c r="N1014" s="25"/>
      <c r="P1014" s="26"/>
      <c r="Q1014" s="25"/>
      <c r="S1014" s="26"/>
      <c r="T1014" s="25"/>
      <c r="V1014" s="26"/>
      <c r="W1014" s="25"/>
      <c r="Y1014" s="26"/>
      <c r="Z1014" s="25"/>
      <c r="AB1014" s="26"/>
    </row>
    <row r="1015" spans="11:28">
      <c r="K1015" s="25"/>
      <c r="M1015" s="26"/>
      <c r="N1015" s="25"/>
      <c r="P1015" s="26"/>
      <c r="Q1015" s="25"/>
      <c r="S1015" s="26"/>
      <c r="T1015" s="25"/>
      <c r="V1015" s="26"/>
      <c r="W1015" s="25"/>
      <c r="Y1015" s="26"/>
      <c r="Z1015" s="25"/>
      <c r="AB1015" s="26"/>
    </row>
    <row r="1016" spans="11:28">
      <c r="K1016" s="25"/>
      <c r="M1016" s="26"/>
      <c r="N1016" s="25"/>
      <c r="P1016" s="26"/>
      <c r="Q1016" s="25"/>
      <c r="S1016" s="26"/>
      <c r="T1016" s="25"/>
      <c r="V1016" s="26"/>
      <c r="W1016" s="25"/>
      <c r="Y1016" s="26"/>
      <c r="Z1016" s="25"/>
      <c r="AB1016" s="26"/>
    </row>
    <row r="1017" spans="11:28">
      <c r="K1017" s="25"/>
      <c r="M1017" s="26"/>
      <c r="N1017" s="25"/>
      <c r="P1017" s="26"/>
      <c r="Q1017" s="25"/>
      <c r="S1017" s="26"/>
      <c r="T1017" s="25"/>
      <c r="V1017" s="26"/>
      <c r="W1017" s="25"/>
      <c r="Y1017" s="26"/>
      <c r="Z1017" s="25"/>
      <c r="AB1017" s="26"/>
    </row>
    <row r="1018" spans="11:28">
      <c r="K1018" s="25"/>
      <c r="M1018" s="26"/>
      <c r="N1018" s="25"/>
      <c r="P1018" s="26"/>
      <c r="Q1018" s="25"/>
      <c r="S1018" s="26"/>
      <c r="T1018" s="25"/>
      <c r="V1018" s="26"/>
      <c r="W1018" s="25"/>
      <c r="Y1018" s="26"/>
      <c r="Z1018" s="25"/>
      <c r="AB1018" s="26"/>
    </row>
    <row r="1019" spans="11:28">
      <c r="K1019" s="25"/>
      <c r="M1019" s="26"/>
      <c r="N1019" s="25"/>
      <c r="P1019" s="26"/>
      <c r="Q1019" s="25"/>
      <c r="S1019" s="26"/>
      <c r="T1019" s="25"/>
      <c r="V1019" s="26"/>
      <c r="W1019" s="25"/>
      <c r="Y1019" s="26"/>
      <c r="Z1019" s="25"/>
      <c r="AB1019" s="26"/>
    </row>
    <row r="1020" spans="11:28">
      <c r="K1020" s="25"/>
      <c r="M1020" s="26"/>
      <c r="N1020" s="25"/>
      <c r="P1020" s="26"/>
      <c r="Q1020" s="25"/>
      <c r="S1020" s="26"/>
      <c r="T1020" s="25"/>
      <c r="V1020" s="26"/>
      <c r="W1020" s="25"/>
      <c r="Y1020" s="26"/>
      <c r="Z1020" s="25"/>
      <c r="AB1020" s="26"/>
    </row>
    <row r="1021" spans="11:28">
      <c r="K1021" s="25"/>
      <c r="M1021" s="26"/>
      <c r="N1021" s="25"/>
      <c r="P1021" s="26"/>
      <c r="Q1021" s="25"/>
      <c r="S1021" s="26"/>
      <c r="T1021" s="25"/>
      <c r="V1021" s="26"/>
      <c r="W1021" s="25"/>
      <c r="Y1021" s="26"/>
      <c r="Z1021" s="25"/>
      <c r="AB1021" s="26"/>
    </row>
    <row r="1022" spans="11:28">
      <c r="K1022" s="25"/>
      <c r="M1022" s="26"/>
      <c r="N1022" s="25"/>
      <c r="P1022" s="26"/>
      <c r="Q1022" s="25"/>
      <c r="S1022" s="26"/>
      <c r="T1022" s="25"/>
      <c r="V1022" s="26"/>
      <c r="W1022" s="25"/>
      <c r="Y1022" s="26"/>
      <c r="Z1022" s="25"/>
      <c r="AB1022" s="26"/>
    </row>
    <row r="1023" spans="11:28">
      <c r="K1023" s="25"/>
      <c r="M1023" s="26"/>
      <c r="N1023" s="25"/>
      <c r="P1023" s="26"/>
      <c r="Q1023" s="25"/>
      <c r="S1023" s="26"/>
      <c r="T1023" s="25"/>
      <c r="V1023" s="26"/>
      <c r="W1023" s="25"/>
      <c r="Y1023" s="26"/>
      <c r="Z1023" s="25"/>
      <c r="AB1023" s="26"/>
    </row>
    <row r="1024" spans="11:28">
      <c r="K1024" s="25"/>
      <c r="M1024" s="26"/>
      <c r="N1024" s="25"/>
      <c r="P1024" s="26"/>
      <c r="Q1024" s="25"/>
      <c r="S1024" s="26"/>
      <c r="T1024" s="25"/>
      <c r="V1024" s="26"/>
      <c r="W1024" s="25"/>
      <c r="Y1024" s="26"/>
      <c r="Z1024" s="25"/>
      <c r="AB1024" s="26"/>
    </row>
    <row r="1025" spans="11:28">
      <c r="K1025" s="25"/>
      <c r="M1025" s="26"/>
      <c r="N1025" s="25"/>
      <c r="P1025" s="26"/>
      <c r="Q1025" s="25"/>
      <c r="S1025" s="26"/>
      <c r="T1025" s="25"/>
      <c r="V1025" s="26"/>
      <c r="W1025" s="25"/>
      <c r="Y1025" s="26"/>
      <c r="Z1025" s="25"/>
      <c r="AB1025" s="26"/>
    </row>
    <row r="1026" spans="11:28">
      <c r="K1026" s="25"/>
      <c r="M1026" s="26"/>
      <c r="N1026" s="25"/>
      <c r="P1026" s="26"/>
      <c r="Q1026" s="25"/>
      <c r="S1026" s="26"/>
      <c r="T1026" s="25"/>
      <c r="V1026" s="26"/>
      <c r="W1026" s="25"/>
      <c r="Y1026" s="26"/>
      <c r="Z1026" s="25"/>
      <c r="AB1026" s="26"/>
    </row>
    <row r="1027" spans="11:28">
      <c r="K1027" s="25"/>
      <c r="M1027" s="26"/>
      <c r="N1027" s="25"/>
      <c r="P1027" s="26"/>
      <c r="Q1027" s="25"/>
      <c r="S1027" s="26"/>
      <c r="T1027" s="25"/>
      <c r="V1027" s="26"/>
      <c r="W1027" s="25"/>
      <c r="Y1027" s="26"/>
      <c r="Z1027" s="25"/>
      <c r="AB1027" s="26"/>
    </row>
    <row r="1028" spans="11:28">
      <c r="K1028" s="25"/>
      <c r="M1028" s="26"/>
      <c r="N1028" s="25"/>
      <c r="P1028" s="26"/>
      <c r="Q1028" s="25"/>
      <c r="S1028" s="26"/>
      <c r="T1028" s="25"/>
      <c r="V1028" s="26"/>
      <c r="W1028" s="25"/>
      <c r="Y1028" s="26"/>
      <c r="Z1028" s="25"/>
      <c r="AB1028" s="26"/>
    </row>
    <row r="1029" spans="11:28">
      <c r="K1029" s="25"/>
      <c r="M1029" s="26"/>
      <c r="N1029" s="25"/>
      <c r="P1029" s="26"/>
      <c r="Q1029" s="25"/>
      <c r="S1029" s="26"/>
      <c r="T1029" s="25"/>
      <c r="V1029" s="26"/>
      <c r="W1029" s="25"/>
      <c r="Y1029" s="26"/>
      <c r="Z1029" s="25"/>
      <c r="AB1029" s="26"/>
    </row>
    <row r="1030" spans="11:28">
      <c r="K1030" s="25"/>
      <c r="M1030" s="26"/>
      <c r="N1030" s="25"/>
      <c r="P1030" s="26"/>
      <c r="Q1030" s="25"/>
      <c r="S1030" s="26"/>
      <c r="T1030" s="25"/>
      <c r="V1030" s="26"/>
      <c r="W1030" s="25"/>
      <c r="Y1030" s="26"/>
      <c r="Z1030" s="25"/>
      <c r="AB1030" s="26"/>
    </row>
    <row r="1031" spans="11:28">
      <c r="K1031" s="25"/>
      <c r="M1031" s="26"/>
      <c r="N1031" s="25"/>
      <c r="P1031" s="26"/>
      <c r="Q1031" s="25"/>
      <c r="S1031" s="26"/>
      <c r="T1031" s="25"/>
      <c r="V1031" s="26"/>
      <c r="W1031" s="25"/>
      <c r="Y1031" s="26"/>
      <c r="Z1031" s="25"/>
      <c r="AB1031" s="26"/>
    </row>
    <row r="1032" spans="11:28">
      <c r="K1032" s="25"/>
      <c r="M1032" s="26"/>
      <c r="N1032" s="25"/>
      <c r="P1032" s="26"/>
      <c r="Q1032" s="25"/>
      <c r="S1032" s="26"/>
      <c r="T1032" s="25"/>
      <c r="V1032" s="26"/>
      <c r="W1032" s="25"/>
      <c r="Y1032" s="26"/>
      <c r="Z1032" s="25"/>
      <c r="AB1032" s="26"/>
    </row>
    <row r="1033" spans="11:28">
      <c r="K1033" s="25"/>
      <c r="M1033" s="26"/>
      <c r="N1033" s="25"/>
      <c r="P1033" s="26"/>
      <c r="Q1033" s="25"/>
      <c r="S1033" s="26"/>
      <c r="T1033" s="25"/>
      <c r="V1033" s="26"/>
      <c r="W1033" s="25"/>
      <c r="Y1033" s="26"/>
      <c r="Z1033" s="25"/>
      <c r="AB1033" s="26"/>
    </row>
    <row r="1034" spans="11:28">
      <c r="K1034" s="25"/>
      <c r="M1034" s="26"/>
      <c r="N1034" s="25"/>
      <c r="P1034" s="26"/>
      <c r="Q1034" s="25"/>
      <c r="S1034" s="26"/>
      <c r="T1034" s="25"/>
      <c r="V1034" s="26"/>
      <c r="W1034" s="25"/>
      <c r="Y1034" s="26"/>
      <c r="Z1034" s="25"/>
      <c r="AB1034" s="26"/>
    </row>
    <row r="1035" spans="11:28">
      <c r="K1035" s="25"/>
      <c r="M1035" s="26"/>
      <c r="N1035" s="25"/>
      <c r="P1035" s="26"/>
      <c r="Q1035" s="25"/>
      <c r="S1035" s="26"/>
      <c r="T1035" s="25"/>
      <c r="V1035" s="26"/>
      <c r="W1035" s="25"/>
      <c r="Y1035" s="26"/>
      <c r="Z1035" s="25"/>
      <c r="AB1035" s="26"/>
    </row>
    <row r="1036" spans="11:28">
      <c r="K1036" s="25"/>
      <c r="M1036" s="26"/>
      <c r="N1036" s="25"/>
      <c r="P1036" s="26"/>
      <c r="Q1036" s="25"/>
      <c r="S1036" s="26"/>
      <c r="T1036" s="25"/>
      <c r="V1036" s="26"/>
      <c r="W1036" s="25"/>
      <c r="Y1036" s="26"/>
      <c r="Z1036" s="25"/>
      <c r="AB1036" s="26"/>
    </row>
    <row r="1037" spans="11:28">
      <c r="K1037" s="25"/>
      <c r="M1037" s="26"/>
      <c r="N1037" s="25"/>
      <c r="P1037" s="26"/>
      <c r="Q1037" s="25"/>
      <c r="S1037" s="26"/>
      <c r="T1037" s="25"/>
      <c r="V1037" s="26"/>
      <c r="W1037" s="25"/>
      <c r="Y1037" s="26"/>
      <c r="Z1037" s="25"/>
      <c r="AB1037" s="26"/>
    </row>
    <row r="1038" spans="11:28">
      <c r="K1038" s="25"/>
      <c r="M1038" s="26"/>
      <c r="N1038" s="25"/>
      <c r="P1038" s="26"/>
      <c r="Q1038" s="25"/>
      <c r="S1038" s="26"/>
      <c r="T1038" s="25"/>
      <c r="V1038" s="26"/>
      <c r="W1038" s="25"/>
      <c r="Y1038" s="26"/>
      <c r="Z1038" s="25"/>
      <c r="AB1038" s="26"/>
    </row>
    <row r="1039" spans="11:28">
      <c r="K1039" s="25"/>
      <c r="M1039" s="26"/>
      <c r="N1039" s="25"/>
      <c r="P1039" s="26"/>
      <c r="Q1039" s="25"/>
      <c r="S1039" s="26"/>
      <c r="T1039" s="25"/>
      <c r="V1039" s="26"/>
      <c r="W1039" s="25"/>
      <c r="Y1039" s="26"/>
      <c r="Z1039" s="25"/>
      <c r="AB1039" s="26"/>
    </row>
    <row r="1040" spans="11:28">
      <c r="K1040" s="25"/>
      <c r="M1040" s="26"/>
      <c r="N1040" s="25"/>
      <c r="P1040" s="26"/>
      <c r="Q1040" s="25"/>
      <c r="S1040" s="26"/>
      <c r="T1040" s="25"/>
      <c r="V1040" s="26"/>
      <c r="W1040" s="25"/>
      <c r="Y1040" s="26"/>
      <c r="Z1040" s="25"/>
      <c r="AB1040" s="26"/>
    </row>
    <row r="1041" spans="11:28">
      <c r="K1041" s="25"/>
      <c r="M1041" s="26"/>
      <c r="N1041" s="25"/>
      <c r="P1041" s="26"/>
      <c r="Q1041" s="25"/>
      <c r="S1041" s="26"/>
      <c r="T1041" s="25"/>
      <c r="V1041" s="26"/>
      <c r="W1041" s="25"/>
      <c r="Y1041" s="26"/>
      <c r="Z1041" s="25"/>
      <c r="AB1041" s="26"/>
    </row>
    <row r="1042" spans="11:28">
      <c r="K1042" s="25"/>
      <c r="M1042" s="26"/>
      <c r="N1042" s="25"/>
      <c r="P1042" s="26"/>
      <c r="Q1042" s="25"/>
      <c r="S1042" s="26"/>
      <c r="T1042" s="25"/>
      <c r="V1042" s="26"/>
      <c r="W1042" s="25"/>
      <c r="Y1042" s="26"/>
      <c r="Z1042" s="25"/>
      <c r="AB1042" s="26"/>
    </row>
    <row r="1043" spans="11:28">
      <c r="K1043" s="25"/>
      <c r="M1043" s="26"/>
      <c r="N1043" s="25"/>
      <c r="P1043" s="26"/>
      <c r="Q1043" s="25"/>
      <c r="S1043" s="26"/>
      <c r="T1043" s="25"/>
      <c r="V1043" s="26"/>
      <c r="W1043" s="25"/>
      <c r="Y1043" s="26"/>
      <c r="Z1043" s="25"/>
      <c r="AB1043" s="26"/>
    </row>
    <row r="1044" spans="11:28">
      <c r="K1044" s="25"/>
      <c r="M1044" s="26"/>
      <c r="N1044" s="25"/>
      <c r="P1044" s="26"/>
      <c r="Q1044" s="25"/>
      <c r="S1044" s="26"/>
      <c r="T1044" s="25"/>
      <c r="V1044" s="26"/>
      <c r="W1044" s="25"/>
      <c r="Y1044" s="26"/>
      <c r="Z1044" s="25"/>
      <c r="AB1044" s="26"/>
    </row>
    <row r="1045" spans="11:28">
      <c r="K1045" s="25"/>
      <c r="M1045" s="26"/>
      <c r="N1045" s="25"/>
      <c r="P1045" s="26"/>
      <c r="Q1045" s="25"/>
      <c r="S1045" s="26"/>
      <c r="T1045" s="25"/>
      <c r="V1045" s="26"/>
      <c r="W1045" s="25"/>
      <c r="Y1045" s="26"/>
      <c r="Z1045" s="25"/>
      <c r="AB1045" s="26"/>
    </row>
    <row r="1046" spans="11:28">
      <c r="K1046" s="25"/>
      <c r="M1046" s="26"/>
      <c r="N1046" s="25"/>
      <c r="P1046" s="26"/>
      <c r="Q1046" s="25"/>
      <c r="S1046" s="26"/>
      <c r="T1046" s="25"/>
      <c r="V1046" s="26"/>
      <c r="W1046" s="25"/>
      <c r="Y1046" s="26"/>
      <c r="Z1046" s="25"/>
      <c r="AB1046" s="26"/>
    </row>
    <row r="1047" spans="11:28">
      <c r="K1047" s="25"/>
      <c r="M1047" s="26"/>
      <c r="N1047" s="25"/>
      <c r="P1047" s="26"/>
      <c r="Q1047" s="25"/>
      <c r="S1047" s="26"/>
      <c r="T1047" s="25"/>
      <c r="V1047" s="26"/>
      <c r="W1047" s="25"/>
      <c r="Y1047" s="26"/>
      <c r="Z1047" s="25"/>
      <c r="AB1047" s="26"/>
    </row>
    <row r="1048" spans="11:28">
      <c r="K1048" s="25"/>
      <c r="M1048" s="26"/>
      <c r="N1048" s="25"/>
      <c r="P1048" s="26"/>
      <c r="Q1048" s="25"/>
      <c r="S1048" s="26"/>
      <c r="T1048" s="25"/>
      <c r="V1048" s="26"/>
      <c r="W1048" s="25"/>
      <c r="Y1048" s="26"/>
      <c r="Z1048" s="25"/>
      <c r="AB1048" s="26"/>
    </row>
    <row r="1049" spans="11:28">
      <c r="K1049" s="25"/>
      <c r="M1049" s="26"/>
      <c r="N1049" s="25"/>
      <c r="P1049" s="26"/>
      <c r="Q1049" s="25"/>
      <c r="S1049" s="26"/>
      <c r="T1049" s="25"/>
      <c r="V1049" s="26"/>
      <c r="W1049" s="25"/>
      <c r="Y1049" s="26"/>
      <c r="Z1049" s="25"/>
      <c r="AB1049" s="26"/>
    </row>
    <row r="1050" spans="11:28">
      <c r="K1050" s="25"/>
      <c r="M1050" s="26"/>
      <c r="N1050" s="25"/>
      <c r="P1050" s="26"/>
      <c r="Q1050" s="25"/>
      <c r="S1050" s="26"/>
      <c r="T1050" s="25"/>
      <c r="V1050" s="26"/>
      <c r="W1050" s="25"/>
      <c r="Y1050" s="26"/>
      <c r="Z1050" s="25"/>
      <c r="AB1050" s="26"/>
    </row>
    <row r="1051" spans="11:28">
      <c r="K1051" s="25"/>
      <c r="M1051" s="26"/>
      <c r="N1051" s="25"/>
      <c r="P1051" s="26"/>
      <c r="Q1051" s="25"/>
      <c r="S1051" s="26"/>
      <c r="T1051" s="25"/>
      <c r="V1051" s="26"/>
      <c r="W1051" s="25"/>
      <c r="Y1051" s="26"/>
      <c r="Z1051" s="25"/>
      <c r="AB1051" s="26"/>
    </row>
    <row r="1052" spans="11:28">
      <c r="K1052" s="25"/>
      <c r="M1052" s="26"/>
      <c r="N1052" s="25"/>
      <c r="P1052" s="26"/>
      <c r="Q1052" s="25"/>
      <c r="S1052" s="26"/>
      <c r="T1052" s="25"/>
      <c r="V1052" s="26"/>
      <c r="W1052" s="25"/>
      <c r="Y1052" s="26"/>
      <c r="Z1052" s="25"/>
      <c r="AB1052" s="26"/>
    </row>
    <row r="1053" spans="11:28">
      <c r="K1053" s="25"/>
      <c r="M1053" s="26"/>
      <c r="N1053" s="25"/>
      <c r="P1053" s="26"/>
      <c r="Q1053" s="25"/>
      <c r="S1053" s="26"/>
      <c r="T1053" s="25"/>
      <c r="V1053" s="26"/>
      <c r="W1053" s="25"/>
      <c r="Y1053" s="26"/>
      <c r="Z1053" s="25"/>
      <c r="AB1053" s="26"/>
    </row>
    <row r="1054" spans="11:28">
      <c r="K1054" s="25"/>
      <c r="M1054" s="26"/>
      <c r="N1054" s="25"/>
      <c r="P1054" s="26"/>
      <c r="Q1054" s="25"/>
      <c r="S1054" s="26"/>
      <c r="T1054" s="25"/>
      <c r="V1054" s="26"/>
      <c r="W1054" s="25"/>
      <c r="Y1054" s="26"/>
      <c r="Z1054" s="25"/>
      <c r="AB1054" s="26"/>
    </row>
    <row r="1055" spans="11:28">
      <c r="K1055" s="25"/>
      <c r="M1055" s="26"/>
      <c r="N1055" s="25"/>
      <c r="P1055" s="26"/>
      <c r="Q1055" s="25"/>
      <c r="S1055" s="26"/>
      <c r="T1055" s="25"/>
      <c r="V1055" s="26"/>
      <c r="W1055" s="25"/>
      <c r="Y1055" s="26"/>
      <c r="Z1055" s="25"/>
      <c r="AB1055" s="26"/>
    </row>
    <row r="1056" spans="11:28">
      <c r="K1056" s="25"/>
      <c r="M1056" s="26"/>
      <c r="N1056" s="25"/>
      <c r="P1056" s="26"/>
      <c r="Q1056" s="25"/>
      <c r="S1056" s="26"/>
      <c r="T1056" s="25"/>
      <c r="V1056" s="26"/>
      <c r="W1056" s="25"/>
      <c r="Y1056" s="26"/>
      <c r="Z1056" s="25"/>
      <c r="AB1056" s="26"/>
    </row>
    <row r="1057" spans="11:28">
      <c r="K1057" s="25"/>
      <c r="M1057" s="26"/>
      <c r="N1057" s="25"/>
      <c r="P1057" s="26"/>
      <c r="Q1057" s="25"/>
      <c r="S1057" s="26"/>
      <c r="T1057" s="25"/>
      <c r="V1057" s="26"/>
      <c r="W1057" s="25"/>
      <c r="Y1057" s="26"/>
      <c r="Z1057" s="25"/>
      <c r="AB1057" s="26"/>
    </row>
    <row r="1058" spans="11:28">
      <c r="K1058" s="25"/>
      <c r="M1058" s="26"/>
      <c r="N1058" s="25"/>
      <c r="P1058" s="26"/>
      <c r="Q1058" s="25"/>
      <c r="S1058" s="26"/>
      <c r="T1058" s="25"/>
      <c r="V1058" s="26"/>
      <c r="W1058" s="25"/>
      <c r="Y1058" s="26"/>
      <c r="Z1058" s="25"/>
      <c r="AB1058" s="26"/>
    </row>
    <row r="1059" spans="11:28">
      <c r="K1059" s="25"/>
      <c r="M1059" s="26"/>
      <c r="N1059" s="25"/>
      <c r="P1059" s="26"/>
      <c r="Q1059" s="25"/>
      <c r="S1059" s="26"/>
      <c r="T1059" s="25"/>
      <c r="V1059" s="26"/>
      <c r="W1059" s="25"/>
      <c r="Y1059" s="26"/>
      <c r="Z1059" s="25"/>
      <c r="AB1059" s="26"/>
    </row>
    <row r="1060" spans="11:28">
      <c r="K1060" s="25"/>
      <c r="M1060" s="26"/>
      <c r="N1060" s="25"/>
      <c r="P1060" s="26"/>
      <c r="Q1060" s="25"/>
      <c r="S1060" s="26"/>
      <c r="T1060" s="25"/>
      <c r="V1060" s="26"/>
      <c r="W1060" s="25"/>
      <c r="Y1060" s="26"/>
      <c r="Z1060" s="25"/>
      <c r="AB1060" s="26"/>
    </row>
    <row r="1061" spans="11:28">
      <c r="K1061" s="25"/>
      <c r="M1061" s="26"/>
      <c r="N1061" s="25"/>
      <c r="P1061" s="26"/>
      <c r="Q1061" s="25"/>
      <c r="S1061" s="26"/>
      <c r="T1061" s="25"/>
      <c r="V1061" s="26"/>
      <c r="W1061" s="25"/>
      <c r="Y1061" s="26"/>
      <c r="Z1061" s="25"/>
      <c r="AB1061" s="26"/>
    </row>
    <row r="1062" spans="11:28">
      <c r="K1062" s="25"/>
      <c r="M1062" s="26"/>
      <c r="N1062" s="25"/>
      <c r="P1062" s="26"/>
      <c r="Q1062" s="25"/>
      <c r="S1062" s="26"/>
      <c r="T1062" s="25"/>
      <c r="V1062" s="26"/>
      <c r="W1062" s="25"/>
      <c r="Y1062" s="26"/>
      <c r="Z1062" s="25"/>
      <c r="AB1062" s="26"/>
    </row>
    <row r="1063" spans="11:28">
      <c r="K1063" s="25"/>
      <c r="M1063" s="26"/>
      <c r="N1063" s="25"/>
      <c r="P1063" s="26"/>
      <c r="Q1063" s="25"/>
      <c r="S1063" s="26"/>
      <c r="T1063" s="25"/>
      <c r="V1063" s="26"/>
      <c r="W1063" s="25"/>
      <c r="Y1063" s="26"/>
      <c r="Z1063" s="25"/>
      <c r="AB1063" s="26"/>
    </row>
    <row r="1064" spans="11:28">
      <c r="K1064" s="25"/>
      <c r="M1064" s="26"/>
      <c r="N1064" s="25"/>
      <c r="P1064" s="26"/>
      <c r="Q1064" s="25"/>
      <c r="S1064" s="26"/>
      <c r="T1064" s="25"/>
      <c r="V1064" s="26"/>
      <c r="W1064" s="25"/>
      <c r="Y1064" s="26"/>
      <c r="Z1064" s="25"/>
      <c r="AB1064" s="26"/>
    </row>
    <row r="1065" spans="11:28">
      <c r="K1065" s="25"/>
      <c r="M1065" s="26"/>
      <c r="N1065" s="25"/>
      <c r="P1065" s="26"/>
      <c r="Q1065" s="25"/>
      <c r="S1065" s="26"/>
      <c r="T1065" s="25"/>
      <c r="V1065" s="26"/>
      <c r="W1065" s="25"/>
      <c r="Y1065" s="26"/>
      <c r="Z1065" s="25"/>
      <c r="AB1065" s="26"/>
    </row>
    <row r="1066" spans="11:28">
      <c r="K1066" s="25"/>
      <c r="M1066" s="26"/>
      <c r="N1066" s="25"/>
      <c r="P1066" s="26"/>
      <c r="Q1066" s="25"/>
      <c r="S1066" s="26"/>
      <c r="T1066" s="25"/>
      <c r="V1066" s="26"/>
      <c r="W1066" s="25"/>
      <c r="Y1066" s="26"/>
      <c r="Z1066" s="25"/>
      <c r="AB1066" s="26"/>
    </row>
    <row r="1067" spans="11:28">
      <c r="K1067" s="25"/>
      <c r="M1067" s="26"/>
      <c r="N1067" s="25"/>
      <c r="P1067" s="26"/>
      <c r="Q1067" s="25"/>
      <c r="S1067" s="26"/>
      <c r="T1067" s="25"/>
      <c r="V1067" s="26"/>
      <c r="W1067" s="25"/>
      <c r="Y1067" s="26"/>
      <c r="Z1067" s="25"/>
      <c r="AB1067" s="26"/>
    </row>
    <row r="1068" spans="11:28">
      <c r="K1068" s="25"/>
      <c r="M1068" s="26"/>
      <c r="N1068" s="25"/>
      <c r="P1068" s="26"/>
      <c r="Q1068" s="25"/>
      <c r="S1068" s="26"/>
      <c r="T1068" s="25"/>
      <c r="V1068" s="26"/>
      <c r="W1068" s="25"/>
      <c r="Y1068" s="26"/>
      <c r="Z1068" s="25"/>
      <c r="AB1068" s="26"/>
    </row>
    <row r="1069" spans="11:28">
      <c r="K1069" s="25"/>
      <c r="M1069" s="26"/>
      <c r="N1069" s="25"/>
      <c r="P1069" s="26"/>
      <c r="Q1069" s="25"/>
      <c r="S1069" s="26"/>
      <c r="T1069" s="25"/>
      <c r="V1069" s="26"/>
      <c r="W1069" s="25"/>
      <c r="Y1069" s="26"/>
      <c r="Z1069" s="25"/>
      <c r="AB1069" s="26"/>
    </row>
    <row r="1070" spans="11:28">
      <c r="K1070" s="25"/>
      <c r="M1070" s="26"/>
      <c r="N1070" s="25"/>
      <c r="P1070" s="26"/>
      <c r="Q1070" s="25"/>
      <c r="S1070" s="26"/>
      <c r="T1070" s="25"/>
      <c r="V1070" s="26"/>
      <c r="W1070" s="25"/>
      <c r="Y1070" s="26"/>
      <c r="Z1070" s="25"/>
      <c r="AB1070" s="26"/>
    </row>
    <row r="1071" spans="11:28">
      <c r="K1071" s="25"/>
      <c r="M1071" s="26"/>
      <c r="N1071" s="25"/>
      <c r="P1071" s="26"/>
      <c r="Q1071" s="25"/>
      <c r="S1071" s="26"/>
      <c r="T1071" s="25"/>
      <c r="V1071" s="26"/>
      <c r="W1071" s="25"/>
      <c r="Y1071" s="26"/>
      <c r="Z1071" s="25"/>
      <c r="AB1071" s="26"/>
    </row>
    <row r="1072" spans="11:28">
      <c r="K1072" s="25"/>
      <c r="M1072" s="26"/>
      <c r="N1072" s="25"/>
      <c r="P1072" s="26"/>
      <c r="Q1072" s="25"/>
      <c r="S1072" s="26"/>
      <c r="T1072" s="25"/>
      <c r="V1072" s="26"/>
      <c r="W1072" s="25"/>
      <c r="Y1072" s="26"/>
      <c r="Z1072" s="25"/>
      <c r="AB1072" s="26"/>
    </row>
    <row r="1073" spans="11:28">
      <c r="K1073" s="25"/>
      <c r="M1073" s="26"/>
      <c r="N1073" s="25"/>
      <c r="P1073" s="26"/>
      <c r="Q1073" s="25"/>
      <c r="S1073" s="26"/>
      <c r="T1073" s="25"/>
      <c r="V1073" s="26"/>
      <c r="W1073" s="25"/>
      <c r="Y1073" s="26"/>
      <c r="Z1073" s="25"/>
      <c r="AB1073" s="26"/>
    </row>
    <row r="1074" spans="11:28">
      <c r="K1074" s="25"/>
      <c r="M1074" s="26"/>
      <c r="N1074" s="25"/>
      <c r="P1074" s="26"/>
      <c r="Q1074" s="25"/>
      <c r="S1074" s="26"/>
      <c r="T1074" s="25"/>
      <c r="V1074" s="26"/>
      <c r="W1074" s="25"/>
      <c r="Y1074" s="26"/>
      <c r="Z1074" s="25"/>
      <c r="AB1074" s="26"/>
    </row>
    <row r="1075" spans="11:28">
      <c r="K1075" s="25"/>
      <c r="M1075" s="26"/>
      <c r="N1075" s="25"/>
      <c r="P1075" s="26"/>
      <c r="Q1075" s="25"/>
      <c r="S1075" s="26"/>
      <c r="T1075" s="25"/>
      <c r="V1075" s="26"/>
      <c r="W1075" s="25"/>
      <c r="Y1075" s="26"/>
      <c r="Z1075" s="25"/>
      <c r="AB1075" s="26"/>
    </row>
    <row r="1076" spans="11:28">
      <c r="K1076" s="25"/>
      <c r="M1076" s="26"/>
      <c r="N1076" s="25"/>
      <c r="P1076" s="26"/>
      <c r="Q1076" s="25"/>
      <c r="S1076" s="26"/>
      <c r="T1076" s="25"/>
      <c r="V1076" s="26"/>
      <c r="W1076" s="25"/>
      <c r="Y1076" s="26"/>
      <c r="Z1076" s="25"/>
      <c r="AB1076" s="26"/>
    </row>
    <row r="1077" spans="11:28">
      <c r="K1077" s="25"/>
      <c r="M1077" s="26"/>
      <c r="N1077" s="25"/>
      <c r="P1077" s="26"/>
      <c r="Q1077" s="25"/>
      <c r="S1077" s="26"/>
      <c r="T1077" s="25"/>
      <c r="V1077" s="26"/>
      <c r="W1077" s="25"/>
      <c r="Y1077" s="26"/>
      <c r="Z1077" s="25"/>
      <c r="AB1077" s="26"/>
    </row>
    <row r="1078" spans="11:28">
      <c r="K1078" s="25"/>
      <c r="M1078" s="26"/>
      <c r="N1078" s="25"/>
      <c r="P1078" s="26"/>
      <c r="Q1078" s="25"/>
      <c r="S1078" s="26"/>
      <c r="T1078" s="25"/>
      <c r="V1078" s="26"/>
      <c r="W1078" s="25"/>
      <c r="Y1078" s="26"/>
      <c r="Z1078" s="25"/>
      <c r="AB1078" s="26"/>
    </row>
    <row r="1079" spans="11:28">
      <c r="K1079" s="25"/>
      <c r="M1079" s="26"/>
      <c r="N1079" s="25"/>
      <c r="P1079" s="26"/>
      <c r="Q1079" s="25"/>
      <c r="S1079" s="26"/>
      <c r="T1079" s="25"/>
      <c r="V1079" s="26"/>
      <c r="W1079" s="25"/>
      <c r="Y1079" s="26"/>
      <c r="Z1079" s="25"/>
      <c r="AB1079" s="26"/>
    </row>
    <row r="1080" spans="11:28">
      <c r="K1080" s="25"/>
      <c r="M1080" s="26"/>
      <c r="N1080" s="25"/>
      <c r="P1080" s="26"/>
      <c r="Q1080" s="25"/>
      <c r="S1080" s="26"/>
      <c r="T1080" s="25"/>
      <c r="V1080" s="26"/>
      <c r="W1080" s="25"/>
      <c r="Y1080" s="26"/>
      <c r="Z1080" s="25"/>
      <c r="AB1080" s="26"/>
    </row>
    <row r="1081" spans="11:28">
      <c r="K1081" s="25"/>
      <c r="M1081" s="26"/>
      <c r="N1081" s="25"/>
      <c r="P1081" s="26"/>
      <c r="Q1081" s="25"/>
      <c r="S1081" s="26"/>
      <c r="T1081" s="25"/>
      <c r="V1081" s="26"/>
      <c r="W1081" s="25"/>
      <c r="Y1081" s="26"/>
      <c r="Z1081" s="25"/>
      <c r="AB1081" s="26"/>
    </row>
    <row r="1082" spans="11:28">
      <c r="K1082" s="25"/>
      <c r="M1082" s="26"/>
      <c r="N1082" s="25"/>
      <c r="P1082" s="26"/>
      <c r="Q1082" s="25"/>
      <c r="S1082" s="26"/>
      <c r="T1082" s="25"/>
      <c r="V1082" s="26"/>
      <c r="W1082" s="25"/>
      <c r="Y1082" s="26"/>
      <c r="Z1082" s="25"/>
      <c r="AB1082" s="26"/>
    </row>
    <row r="1083" spans="11:28">
      <c r="K1083" s="25"/>
      <c r="M1083" s="26"/>
      <c r="N1083" s="25"/>
      <c r="P1083" s="26"/>
      <c r="Q1083" s="25"/>
      <c r="S1083" s="26"/>
      <c r="T1083" s="25"/>
      <c r="V1083" s="26"/>
      <c r="W1083" s="25"/>
      <c r="Y1083" s="26"/>
      <c r="Z1083" s="25"/>
      <c r="AB1083" s="26"/>
    </row>
    <row r="1084" spans="11:28">
      <c r="K1084" s="25"/>
      <c r="M1084" s="26"/>
      <c r="N1084" s="25"/>
      <c r="P1084" s="26"/>
      <c r="Q1084" s="25"/>
      <c r="S1084" s="26"/>
      <c r="T1084" s="25"/>
      <c r="V1084" s="26"/>
      <c r="W1084" s="25"/>
      <c r="Y1084" s="26"/>
      <c r="Z1084" s="25"/>
      <c r="AB1084" s="26"/>
    </row>
    <row r="1085" spans="11:28">
      <c r="K1085" s="25"/>
      <c r="M1085" s="26"/>
      <c r="N1085" s="25"/>
      <c r="P1085" s="26"/>
      <c r="Q1085" s="25"/>
      <c r="S1085" s="26"/>
      <c r="T1085" s="25"/>
      <c r="V1085" s="26"/>
      <c r="W1085" s="25"/>
      <c r="Y1085" s="26"/>
      <c r="Z1085" s="25"/>
      <c r="AB1085" s="26"/>
    </row>
    <row r="1086" spans="11:28">
      <c r="K1086" s="25"/>
      <c r="M1086" s="26"/>
      <c r="N1086" s="25"/>
      <c r="P1086" s="26"/>
      <c r="Q1086" s="25"/>
      <c r="S1086" s="26"/>
      <c r="T1086" s="25"/>
      <c r="V1086" s="26"/>
      <c r="W1086" s="25"/>
      <c r="Y1086" s="26"/>
      <c r="Z1086" s="25"/>
      <c r="AB1086" s="26"/>
    </row>
    <row r="1087" spans="11:28">
      <c r="K1087" s="25"/>
      <c r="M1087" s="26"/>
      <c r="N1087" s="25"/>
      <c r="P1087" s="26"/>
      <c r="Q1087" s="25"/>
      <c r="S1087" s="26"/>
      <c r="T1087" s="25"/>
      <c r="V1087" s="26"/>
      <c r="W1087" s="25"/>
      <c r="Y1087" s="26"/>
      <c r="Z1087" s="25"/>
      <c r="AB1087" s="26"/>
    </row>
    <row r="1088" spans="11:28">
      <c r="K1088" s="25"/>
      <c r="M1088" s="26"/>
      <c r="N1088" s="25"/>
      <c r="P1088" s="26"/>
      <c r="Q1088" s="25"/>
      <c r="S1088" s="26"/>
      <c r="T1088" s="25"/>
      <c r="V1088" s="26"/>
      <c r="W1088" s="25"/>
      <c r="Y1088" s="26"/>
      <c r="Z1088" s="25"/>
      <c r="AB1088" s="26"/>
    </row>
    <row r="1089" spans="11:28">
      <c r="K1089" s="25"/>
      <c r="M1089" s="26"/>
      <c r="N1089" s="25"/>
      <c r="P1089" s="26"/>
      <c r="Q1089" s="25"/>
      <c r="S1089" s="26"/>
      <c r="T1089" s="25"/>
      <c r="V1089" s="26"/>
      <c r="W1089" s="25"/>
      <c r="Y1089" s="26"/>
      <c r="Z1089" s="25"/>
      <c r="AB1089" s="26"/>
    </row>
    <row r="1090" spans="11:28">
      <c r="K1090" s="25"/>
      <c r="M1090" s="26"/>
      <c r="N1090" s="25"/>
      <c r="P1090" s="26"/>
      <c r="Q1090" s="25"/>
      <c r="S1090" s="26"/>
      <c r="T1090" s="25"/>
      <c r="V1090" s="26"/>
      <c r="W1090" s="25"/>
      <c r="Y1090" s="26"/>
      <c r="Z1090" s="25"/>
      <c r="AB1090" s="26"/>
    </row>
    <row r="1091" spans="11:28">
      <c r="K1091" s="25"/>
      <c r="M1091" s="26"/>
      <c r="N1091" s="25"/>
      <c r="P1091" s="26"/>
      <c r="Q1091" s="25"/>
      <c r="S1091" s="26"/>
      <c r="T1091" s="25"/>
      <c r="V1091" s="26"/>
      <c r="W1091" s="25"/>
      <c r="Y1091" s="26"/>
      <c r="Z1091" s="25"/>
      <c r="AB1091" s="26"/>
    </row>
    <row r="1092" spans="11:28">
      <c r="K1092" s="25"/>
      <c r="M1092" s="26"/>
      <c r="N1092" s="25"/>
      <c r="P1092" s="26"/>
      <c r="Q1092" s="25"/>
      <c r="S1092" s="26"/>
      <c r="T1092" s="25"/>
      <c r="V1092" s="26"/>
      <c r="W1092" s="25"/>
      <c r="Y1092" s="26"/>
      <c r="Z1092" s="25"/>
      <c r="AB1092" s="26"/>
    </row>
    <row r="1093" spans="11:28">
      <c r="K1093" s="25"/>
      <c r="M1093" s="26"/>
      <c r="N1093" s="25"/>
      <c r="P1093" s="26"/>
      <c r="Q1093" s="25"/>
      <c r="S1093" s="26"/>
      <c r="T1093" s="25"/>
      <c r="V1093" s="26"/>
      <c r="W1093" s="25"/>
      <c r="Y1093" s="26"/>
      <c r="Z1093" s="25"/>
      <c r="AB1093" s="26"/>
    </row>
    <row r="1094" spans="11:28">
      <c r="K1094" s="25"/>
      <c r="M1094" s="26"/>
      <c r="N1094" s="25"/>
      <c r="P1094" s="26"/>
      <c r="Q1094" s="25"/>
      <c r="S1094" s="26"/>
      <c r="T1094" s="25"/>
      <c r="V1094" s="26"/>
      <c r="W1094" s="25"/>
      <c r="Y1094" s="26"/>
      <c r="Z1094" s="25"/>
      <c r="AB1094" s="26"/>
    </row>
    <row r="1095" spans="11:28">
      <c r="K1095" s="25"/>
      <c r="M1095" s="26"/>
      <c r="N1095" s="25"/>
      <c r="P1095" s="26"/>
      <c r="Q1095" s="25"/>
      <c r="S1095" s="26"/>
      <c r="T1095" s="25"/>
      <c r="V1095" s="26"/>
      <c r="W1095" s="25"/>
      <c r="Y1095" s="26"/>
      <c r="Z1095" s="25"/>
      <c r="AB1095" s="26"/>
    </row>
    <row r="1096" spans="11:28">
      <c r="K1096" s="25"/>
      <c r="M1096" s="26"/>
      <c r="N1096" s="25"/>
      <c r="P1096" s="26"/>
      <c r="Q1096" s="25"/>
      <c r="S1096" s="26"/>
      <c r="T1096" s="25"/>
      <c r="V1096" s="26"/>
      <c r="W1096" s="25"/>
      <c r="Y1096" s="26"/>
      <c r="Z1096" s="25"/>
      <c r="AB1096" s="26"/>
    </row>
    <row r="1097" spans="11:28">
      <c r="K1097" s="25"/>
      <c r="M1097" s="26"/>
      <c r="N1097" s="25"/>
      <c r="P1097" s="26"/>
      <c r="Q1097" s="25"/>
      <c r="S1097" s="26"/>
      <c r="T1097" s="25"/>
      <c r="V1097" s="26"/>
      <c r="W1097" s="25"/>
      <c r="Y1097" s="26"/>
      <c r="Z1097" s="25"/>
      <c r="AB1097" s="26"/>
    </row>
    <row r="1098" spans="11:28">
      <c r="K1098" s="25"/>
      <c r="M1098" s="26"/>
      <c r="N1098" s="25"/>
      <c r="P1098" s="26"/>
      <c r="Q1098" s="25"/>
      <c r="S1098" s="26"/>
      <c r="T1098" s="25"/>
      <c r="V1098" s="26"/>
      <c r="W1098" s="25"/>
      <c r="Y1098" s="26"/>
      <c r="Z1098" s="25"/>
      <c r="AB1098" s="26"/>
    </row>
    <row r="1099" spans="11:28">
      <c r="K1099" s="25"/>
      <c r="M1099" s="26"/>
      <c r="N1099" s="25"/>
      <c r="P1099" s="26"/>
      <c r="Q1099" s="25"/>
      <c r="S1099" s="26"/>
      <c r="T1099" s="25"/>
      <c r="V1099" s="26"/>
      <c r="W1099" s="25"/>
      <c r="Y1099" s="26"/>
      <c r="Z1099" s="25"/>
      <c r="AB1099" s="26"/>
    </row>
    <row r="1100" spans="11:28">
      <c r="K1100" s="25"/>
      <c r="M1100" s="26"/>
      <c r="N1100" s="25"/>
      <c r="P1100" s="26"/>
      <c r="Q1100" s="25"/>
      <c r="S1100" s="26"/>
      <c r="T1100" s="25"/>
      <c r="V1100" s="26"/>
      <c r="W1100" s="25"/>
      <c r="Y1100" s="26"/>
      <c r="Z1100" s="25"/>
      <c r="AB1100" s="26"/>
    </row>
    <row r="1101" spans="11:28">
      <c r="K1101" s="25"/>
      <c r="M1101" s="26"/>
      <c r="N1101" s="25"/>
      <c r="P1101" s="26"/>
      <c r="Q1101" s="25"/>
      <c r="S1101" s="26"/>
      <c r="T1101" s="25"/>
      <c r="V1101" s="26"/>
      <c r="W1101" s="25"/>
      <c r="Y1101" s="26"/>
      <c r="Z1101" s="25"/>
      <c r="AB1101" s="26"/>
    </row>
    <row r="1102" spans="11:28">
      <c r="K1102" s="25"/>
      <c r="M1102" s="26"/>
      <c r="N1102" s="25"/>
      <c r="P1102" s="26"/>
      <c r="Q1102" s="25"/>
      <c r="S1102" s="26"/>
      <c r="T1102" s="25"/>
      <c r="V1102" s="26"/>
      <c r="W1102" s="25"/>
      <c r="Y1102" s="26"/>
      <c r="Z1102" s="25"/>
      <c r="AB1102" s="26"/>
    </row>
    <row r="1103" spans="11:28">
      <c r="K1103" s="25"/>
      <c r="M1103" s="26"/>
      <c r="N1103" s="25"/>
      <c r="P1103" s="26"/>
      <c r="Q1103" s="25"/>
      <c r="S1103" s="26"/>
      <c r="T1103" s="25"/>
      <c r="V1103" s="26"/>
      <c r="W1103" s="25"/>
      <c r="Y1103" s="26"/>
      <c r="Z1103" s="25"/>
      <c r="AB1103" s="26"/>
    </row>
    <row r="1104" spans="11:28">
      <c r="K1104" s="25"/>
      <c r="M1104" s="26"/>
      <c r="N1104" s="25"/>
      <c r="P1104" s="26"/>
      <c r="Q1104" s="25"/>
      <c r="S1104" s="26"/>
      <c r="T1104" s="25"/>
      <c r="V1104" s="26"/>
      <c r="W1104" s="25"/>
      <c r="Y1104" s="26"/>
      <c r="Z1104" s="25"/>
      <c r="AB1104" s="26"/>
    </row>
    <row r="1105" spans="11:28">
      <c r="K1105" s="25"/>
      <c r="M1105" s="26"/>
      <c r="N1105" s="25"/>
      <c r="P1105" s="26"/>
      <c r="Q1105" s="25"/>
      <c r="S1105" s="26"/>
      <c r="T1105" s="25"/>
      <c r="V1105" s="26"/>
      <c r="W1105" s="25"/>
      <c r="Y1105" s="26"/>
      <c r="Z1105" s="25"/>
      <c r="AB1105" s="26"/>
    </row>
    <row r="1106" spans="11:28">
      <c r="K1106" s="25"/>
      <c r="M1106" s="26"/>
      <c r="N1106" s="25"/>
      <c r="P1106" s="26"/>
      <c r="Q1106" s="25"/>
      <c r="S1106" s="26"/>
      <c r="T1106" s="25"/>
      <c r="V1106" s="26"/>
      <c r="W1106" s="25"/>
      <c r="Y1106" s="26"/>
      <c r="Z1106" s="25"/>
      <c r="AB1106" s="26"/>
    </row>
    <row r="1107" spans="11:28">
      <c r="K1107" s="25"/>
      <c r="M1107" s="26"/>
      <c r="N1107" s="25"/>
      <c r="P1107" s="26"/>
      <c r="Q1107" s="25"/>
      <c r="S1107" s="26"/>
      <c r="T1107" s="25"/>
      <c r="V1107" s="26"/>
      <c r="W1107" s="25"/>
      <c r="Y1107" s="26"/>
      <c r="Z1107" s="25"/>
      <c r="AB1107" s="26"/>
    </row>
    <row r="1108" spans="11:28">
      <c r="K1108" s="25"/>
      <c r="M1108" s="26"/>
      <c r="N1108" s="25"/>
      <c r="P1108" s="26"/>
      <c r="Q1108" s="25"/>
      <c r="S1108" s="26"/>
      <c r="T1108" s="25"/>
      <c r="V1108" s="26"/>
      <c r="W1108" s="25"/>
      <c r="Y1108" s="26"/>
      <c r="Z1108" s="25"/>
      <c r="AB1108" s="26"/>
    </row>
    <row r="1109" spans="11:28">
      <c r="K1109" s="25"/>
      <c r="M1109" s="26"/>
      <c r="N1109" s="25"/>
      <c r="P1109" s="26"/>
      <c r="Q1109" s="25"/>
      <c r="S1109" s="26"/>
      <c r="T1109" s="25"/>
      <c r="V1109" s="26"/>
      <c r="W1109" s="25"/>
      <c r="Y1109" s="26"/>
      <c r="Z1109" s="25"/>
      <c r="AB1109" s="26"/>
    </row>
    <row r="1110" spans="11:28">
      <c r="K1110" s="25"/>
      <c r="M1110" s="26"/>
      <c r="N1110" s="25"/>
      <c r="P1110" s="26"/>
      <c r="Q1110" s="25"/>
      <c r="S1110" s="26"/>
      <c r="T1110" s="25"/>
      <c r="V1110" s="26"/>
      <c r="W1110" s="25"/>
      <c r="Y1110" s="26"/>
      <c r="Z1110" s="25"/>
      <c r="AB1110" s="26"/>
    </row>
    <row r="1111" spans="11:28">
      <c r="K1111" s="25"/>
      <c r="M1111" s="26"/>
      <c r="N1111" s="25"/>
      <c r="P1111" s="26"/>
      <c r="Q1111" s="25"/>
      <c r="S1111" s="26"/>
      <c r="T1111" s="25"/>
      <c r="V1111" s="26"/>
      <c r="W1111" s="25"/>
      <c r="Y1111" s="26"/>
      <c r="Z1111" s="25"/>
      <c r="AB1111" s="26"/>
    </row>
    <row r="1112" spans="11:28">
      <c r="K1112" s="25"/>
      <c r="M1112" s="26"/>
      <c r="N1112" s="25"/>
      <c r="P1112" s="26"/>
      <c r="Q1112" s="25"/>
      <c r="S1112" s="26"/>
      <c r="T1112" s="25"/>
      <c r="V1112" s="26"/>
      <c r="W1112" s="25"/>
      <c r="Y1112" s="26"/>
      <c r="Z1112" s="25"/>
      <c r="AB1112" s="26"/>
    </row>
    <row r="1113" spans="11:28">
      <c r="K1113" s="25"/>
      <c r="M1113" s="26"/>
      <c r="N1113" s="25"/>
      <c r="P1113" s="26"/>
      <c r="Q1113" s="25"/>
      <c r="S1113" s="26"/>
      <c r="T1113" s="25"/>
      <c r="V1113" s="26"/>
      <c r="W1113" s="25"/>
      <c r="Y1113" s="26"/>
      <c r="Z1113" s="25"/>
      <c r="AB1113" s="26"/>
    </row>
    <row r="1114" spans="11:28">
      <c r="K1114" s="25"/>
      <c r="M1114" s="26"/>
      <c r="N1114" s="25"/>
      <c r="P1114" s="26"/>
      <c r="Q1114" s="25"/>
      <c r="S1114" s="26"/>
      <c r="T1114" s="25"/>
      <c r="V1114" s="26"/>
      <c r="W1114" s="25"/>
      <c r="Y1114" s="26"/>
      <c r="Z1114" s="25"/>
      <c r="AB1114" s="26"/>
    </row>
    <row r="1115" spans="11:28">
      <c r="K1115" s="25"/>
      <c r="M1115" s="26"/>
      <c r="N1115" s="25"/>
      <c r="P1115" s="26"/>
      <c r="Q1115" s="25"/>
      <c r="S1115" s="26"/>
      <c r="T1115" s="25"/>
      <c r="V1115" s="26"/>
      <c r="W1115" s="25"/>
      <c r="Y1115" s="26"/>
      <c r="Z1115" s="25"/>
      <c r="AB1115" s="26"/>
    </row>
    <row r="1116" spans="11:28">
      <c r="K1116" s="25"/>
      <c r="M1116" s="26"/>
      <c r="N1116" s="25"/>
      <c r="P1116" s="26"/>
      <c r="Q1116" s="25"/>
      <c r="S1116" s="26"/>
      <c r="T1116" s="25"/>
      <c r="V1116" s="26"/>
      <c r="W1116" s="25"/>
      <c r="Y1116" s="26"/>
      <c r="Z1116" s="25"/>
      <c r="AB1116" s="26"/>
    </row>
    <row r="1117" spans="11:28">
      <c r="K1117" s="25"/>
      <c r="M1117" s="26"/>
      <c r="N1117" s="25"/>
      <c r="P1117" s="26"/>
      <c r="Q1117" s="25"/>
      <c r="S1117" s="26"/>
      <c r="T1117" s="25"/>
      <c r="V1117" s="26"/>
      <c r="W1117" s="25"/>
      <c r="Y1117" s="26"/>
      <c r="Z1117" s="25"/>
      <c r="AB1117" s="26"/>
    </row>
    <row r="1118" spans="11:28">
      <c r="K1118" s="25"/>
      <c r="M1118" s="26"/>
      <c r="N1118" s="25"/>
      <c r="P1118" s="26"/>
      <c r="Q1118" s="25"/>
      <c r="S1118" s="26"/>
      <c r="T1118" s="25"/>
      <c r="V1118" s="26"/>
      <c r="W1118" s="25"/>
      <c r="Y1118" s="26"/>
      <c r="Z1118" s="25"/>
      <c r="AB1118" s="26"/>
    </row>
    <row r="1119" spans="11:28">
      <c r="K1119" s="25"/>
      <c r="M1119" s="26"/>
      <c r="N1119" s="25"/>
      <c r="P1119" s="26"/>
      <c r="Q1119" s="25"/>
      <c r="S1119" s="26"/>
      <c r="T1119" s="25"/>
      <c r="V1119" s="26"/>
      <c r="W1119" s="25"/>
      <c r="Y1119" s="26"/>
      <c r="Z1119" s="25"/>
      <c r="AB1119" s="26"/>
    </row>
    <row r="1120" spans="11:28">
      <c r="K1120" s="25"/>
      <c r="M1120" s="26"/>
      <c r="N1120" s="25"/>
      <c r="P1120" s="26"/>
      <c r="Q1120" s="25"/>
      <c r="S1120" s="26"/>
      <c r="T1120" s="25"/>
      <c r="V1120" s="26"/>
      <c r="W1120" s="25"/>
      <c r="Y1120" s="26"/>
      <c r="Z1120" s="25"/>
      <c r="AB1120" s="26"/>
    </row>
    <row r="1121" spans="11:28">
      <c r="K1121" s="25"/>
      <c r="M1121" s="26"/>
      <c r="N1121" s="25"/>
      <c r="P1121" s="26"/>
      <c r="Q1121" s="25"/>
      <c r="S1121" s="26"/>
      <c r="T1121" s="25"/>
      <c r="V1121" s="26"/>
      <c r="W1121" s="25"/>
      <c r="Y1121" s="26"/>
      <c r="Z1121" s="25"/>
      <c r="AB1121" s="26"/>
    </row>
    <row r="1122" spans="11:28">
      <c r="K1122" s="25"/>
      <c r="M1122" s="26"/>
      <c r="N1122" s="25"/>
      <c r="P1122" s="26"/>
      <c r="Q1122" s="25"/>
      <c r="S1122" s="26"/>
      <c r="T1122" s="25"/>
      <c r="V1122" s="26"/>
      <c r="W1122" s="25"/>
      <c r="Y1122" s="26"/>
      <c r="Z1122" s="25"/>
      <c r="AB1122" s="26"/>
    </row>
    <row r="1123" spans="11:28">
      <c r="K1123" s="25"/>
      <c r="M1123" s="26"/>
      <c r="N1123" s="25"/>
      <c r="P1123" s="26"/>
      <c r="Q1123" s="25"/>
      <c r="S1123" s="26"/>
      <c r="T1123" s="25"/>
      <c r="V1123" s="26"/>
      <c r="W1123" s="25"/>
      <c r="Y1123" s="26"/>
      <c r="Z1123" s="25"/>
      <c r="AB1123" s="26"/>
    </row>
    <row r="1124" spans="11:28">
      <c r="K1124" s="25"/>
      <c r="M1124" s="26"/>
      <c r="N1124" s="25"/>
      <c r="P1124" s="26"/>
      <c r="Q1124" s="25"/>
      <c r="S1124" s="26"/>
      <c r="T1124" s="25"/>
      <c r="V1124" s="26"/>
      <c r="W1124" s="25"/>
      <c r="Y1124" s="26"/>
      <c r="Z1124" s="25"/>
      <c r="AB1124" s="26"/>
    </row>
    <row r="1125" spans="11:28">
      <c r="K1125" s="25"/>
      <c r="M1125" s="26"/>
      <c r="N1125" s="25"/>
      <c r="P1125" s="26"/>
      <c r="Q1125" s="25"/>
      <c r="S1125" s="26"/>
      <c r="T1125" s="25"/>
      <c r="V1125" s="26"/>
      <c r="W1125" s="25"/>
      <c r="Y1125" s="26"/>
      <c r="Z1125" s="25"/>
      <c r="AB1125" s="26"/>
    </row>
    <row r="1126" spans="11:28">
      <c r="K1126" s="25"/>
      <c r="M1126" s="26"/>
      <c r="N1126" s="25"/>
      <c r="P1126" s="26"/>
      <c r="Q1126" s="25"/>
      <c r="S1126" s="26"/>
      <c r="T1126" s="25"/>
      <c r="V1126" s="26"/>
      <c r="W1126" s="25"/>
      <c r="Y1126" s="26"/>
      <c r="Z1126" s="25"/>
      <c r="AB1126" s="26"/>
    </row>
    <row r="1127" spans="11:28">
      <c r="K1127" s="25"/>
      <c r="M1127" s="26"/>
      <c r="N1127" s="25"/>
      <c r="P1127" s="26"/>
      <c r="Q1127" s="25"/>
      <c r="S1127" s="26"/>
      <c r="T1127" s="25"/>
      <c r="V1127" s="26"/>
      <c r="W1127" s="25"/>
      <c r="Y1127" s="26"/>
      <c r="Z1127" s="25"/>
      <c r="AB1127" s="26"/>
    </row>
    <row r="1128" spans="11:28">
      <c r="K1128" s="25"/>
      <c r="M1128" s="26"/>
      <c r="N1128" s="25"/>
      <c r="P1128" s="26"/>
      <c r="Q1128" s="25"/>
      <c r="S1128" s="26"/>
      <c r="T1128" s="25"/>
      <c r="V1128" s="26"/>
      <c r="W1128" s="25"/>
      <c r="Y1128" s="26"/>
      <c r="Z1128" s="25"/>
      <c r="AB1128" s="26"/>
    </row>
    <row r="1129" spans="11:28">
      <c r="K1129" s="25"/>
      <c r="M1129" s="26"/>
      <c r="N1129" s="25"/>
      <c r="P1129" s="26"/>
      <c r="Q1129" s="25"/>
      <c r="S1129" s="26"/>
      <c r="T1129" s="25"/>
      <c r="V1129" s="26"/>
      <c r="W1129" s="25"/>
      <c r="Y1129" s="26"/>
      <c r="Z1129" s="25"/>
      <c r="AB1129" s="26"/>
    </row>
    <row r="1130" spans="11:28">
      <c r="K1130" s="25"/>
      <c r="M1130" s="26"/>
      <c r="N1130" s="25"/>
      <c r="P1130" s="26"/>
      <c r="Q1130" s="25"/>
      <c r="S1130" s="26"/>
      <c r="T1130" s="25"/>
      <c r="V1130" s="26"/>
      <c r="W1130" s="25"/>
      <c r="Y1130" s="26"/>
      <c r="Z1130" s="25"/>
      <c r="AB1130" s="26"/>
    </row>
    <row r="1131" spans="11:28">
      <c r="K1131" s="25"/>
      <c r="M1131" s="26"/>
      <c r="N1131" s="25"/>
      <c r="P1131" s="26"/>
      <c r="Q1131" s="25"/>
      <c r="S1131" s="26"/>
      <c r="T1131" s="25"/>
      <c r="V1131" s="26"/>
      <c r="W1131" s="25"/>
      <c r="Y1131" s="26"/>
      <c r="Z1131" s="25"/>
      <c r="AB1131" s="26"/>
    </row>
    <row r="1132" spans="11:28">
      <c r="K1132" s="25"/>
      <c r="M1132" s="26"/>
      <c r="N1132" s="25"/>
      <c r="P1132" s="26"/>
      <c r="Q1132" s="25"/>
      <c r="S1132" s="26"/>
      <c r="T1132" s="25"/>
      <c r="V1132" s="26"/>
      <c r="W1132" s="25"/>
      <c r="Y1132" s="26"/>
      <c r="Z1132" s="25"/>
      <c r="AB1132" s="26"/>
    </row>
    <row r="1133" spans="11:28">
      <c r="K1133" s="25"/>
      <c r="M1133" s="26"/>
      <c r="N1133" s="25"/>
      <c r="P1133" s="26"/>
      <c r="Q1133" s="25"/>
      <c r="S1133" s="26"/>
      <c r="T1133" s="25"/>
      <c r="V1133" s="26"/>
      <c r="W1133" s="25"/>
      <c r="Y1133" s="26"/>
      <c r="Z1133" s="25"/>
      <c r="AB1133" s="26"/>
    </row>
    <row r="1134" spans="11:28">
      <c r="K1134" s="25"/>
      <c r="M1134" s="26"/>
      <c r="N1134" s="25"/>
      <c r="P1134" s="26"/>
      <c r="Q1134" s="25"/>
      <c r="S1134" s="26"/>
      <c r="T1134" s="25"/>
      <c r="V1134" s="26"/>
      <c r="W1134" s="25"/>
      <c r="Y1134" s="26"/>
      <c r="Z1134" s="25"/>
      <c r="AB1134" s="26"/>
    </row>
    <row r="1135" spans="11:28">
      <c r="K1135" s="25"/>
      <c r="M1135" s="26"/>
      <c r="N1135" s="25"/>
      <c r="P1135" s="26"/>
      <c r="Q1135" s="25"/>
      <c r="S1135" s="26"/>
      <c r="T1135" s="25"/>
      <c r="V1135" s="26"/>
      <c r="W1135" s="25"/>
      <c r="Y1135" s="26"/>
      <c r="Z1135" s="25"/>
      <c r="AB1135" s="26"/>
    </row>
    <row r="1136" spans="11:28">
      <c r="K1136" s="25"/>
      <c r="M1136" s="26"/>
      <c r="N1136" s="25"/>
      <c r="P1136" s="26"/>
      <c r="Q1136" s="25"/>
      <c r="S1136" s="26"/>
      <c r="T1136" s="25"/>
      <c r="V1136" s="26"/>
      <c r="W1136" s="25"/>
      <c r="Y1136" s="26"/>
      <c r="Z1136" s="25"/>
      <c r="AB1136" s="26"/>
    </row>
    <row r="1137" spans="11:28">
      <c r="K1137" s="25"/>
      <c r="M1137" s="26"/>
      <c r="N1137" s="25"/>
      <c r="P1137" s="26"/>
      <c r="Q1137" s="25"/>
      <c r="S1137" s="26"/>
      <c r="T1137" s="25"/>
      <c r="V1137" s="26"/>
      <c r="W1137" s="25"/>
      <c r="Y1137" s="26"/>
      <c r="Z1137" s="25"/>
      <c r="AB1137" s="26"/>
    </row>
    <row r="1138" spans="11:28">
      <c r="K1138" s="25"/>
      <c r="M1138" s="26"/>
      <c r="N1138" s="25"/>
      <c r="P1138" s="26"/>
      <c r="Q1138" s="25"/>
      <c r="S1138" s="26"/>
      <c r="T1138" s="25"/>
      <c r="V1138" s="26"/>
      <c r="W1138" s="25"/>
      <c r="Y1138" s="26"/>
      <c r="Z1138" s="25"/>
      <c r="AB1138" s="26"/>
    </row>
    <row r="1139" spans="11:28">
      <c r="K1139" s="25"/>
      <c r="M1139" s="26"/>
      <c r="N1139" s="25"/>
      <c r="P1139" s="26"/>
      <c r="Q1139" s="25"/>
      <c r="S1139" s="26"/>
      <c r="T1139" s="25"/>
      <c r="V1139" s="26"/>
      <c r="W1139" s="25"/>
      <c r="Y1139" s="26"/>
      <c r="Z1139" s="25"/>
      <c r="AB1139" s="26"/>
    </row>
    <row r="1140" spans="11:28">
      <c r="K1140" s="25"/>
      <c r="M1140" s="26"/>
      <c r="N1140" s="25"/>
      <c r="P1140" s="26"/>
      <c r="Q1140" s="25"/>
      <c r="S1140" s="26"/>
      <c r="T1140" s="25"/>
      <c r="V1140" s="26"/>
      <c r="W1140" s="25"/>
      <c r="Y1140" s="26"/>
      <c r="Z1140" s="25"/>
      <c r="AB1140" s="26"/>
    </row>
    <row r="1141" spans="11:28">
      <c r="K1141" s="25"/>
      <c r="M1141" s="26"/>
      <c r="N1141" s="25"/>
      <c r="P1141" s="26"/>
      <c r="Q1141" s="25"/>
      <c r="S1141" s="26"/>
      <c r="T1141" s="25"/>
      <c r="V1141" s="26"/>
      <c r="W1141" s="25"/>
      <c r="Y1141" s="26"/>
      <c r="Z1141" s="25"/>
      <c r="AB1141" s="26"/>
    </row>
    <row r="1142" spans="11:28">
      <c r="K1142" s="25"/>
      <c r="M1142" s="26"/>
      <c r="N1142" s="25"/>
      <c r="P1142" s="26"/>
      <c r="Q1142" s="25"/>
      <c r="S1142" s="26"/>
      <c r="T1142" s="25"/>
      <c r="V1142" s="26"/>
      <c r="W1142" s="25"/>
      <c r="Y1142" s="26"/>
      <c r="Z1142" s="25"/>
      <c r="AB1142" s="26"/>
    </row>
    <row r="1143" spans="11:28">
      <c r="K1143" s="25"/>
      <c r="M1143" s="26"/>
      <c r="N1143" s="25"/>
      <c r="P1143" s="26"/>
      <c r="Q1143" s="25"/>
      <c r="S1143" s="26"/>
      <c r="T1143" s="25"/>
      <c r="V1143" s="26"/>
      <c r="W1143" s="25"/>
      <c r="Y1143" s="26"/>
      <c r="Z1143" s="25"/>
      <c r="AB1143" s="26"/>
    </row>
    <row r="1144" spans="11:28">
      <c r="K1144" s="25"/>
      <c r="M1144" s="26"/>
      <c r="N1144" s="25"/>
      <c r="P1144" s="26"/>
      <c r="Q1144" s="25"/>
      <c r="S1144" s="26"/>
      <c r="T1144" s="25"/>
      <c r="V1144" s="26"/>
      <c r="W1144" s="25"/>
      <c r="Y1144" s="26"/>
      <c r="Z1144" s="25"/>
      <c r="AB1144" s="26"/>
    </row>
    <row r="1145" spans="11:28">
      <c r="K1145" s="25"/>
      <c r="M1145" s="26"/>
      <c r="N1145" s="25"/>
      <c r="P1145" s="26"/>
      <c r="Q1145" s="25"/>
      <c r="S1145" s="26"/>
      <c r="T1145" s="25"/>
      <c r="V1145" s="26"/>
      <c r="W1145" s="25"/>
      <c r="Y1145" s="26"/>
      <c r="Z1145" s="25"/>
      <c r="AB1145" s="26"/>
    </row>
    <row r="1146" spans="11:28">
      <c r="K1146" s="25"/>
      <c r="M1146" s="26"/>
      <c r="N1146" s="25"/>
      <c r="P1146" s="26"/>
      <c r="Q1146" s="25"/>
      <c r="S1146" s="26"/>
      <c r="T1146" s="25"/>
      <c r="V1146" s="26"/>
      <c r="W1146" s="25"/>
      <c r="Y1146" s="26"/>
      <c r="Z1146" s="25"/>
      <c r="AB1146" s="26"/>
    </row>
    <row r="1147" spans="11:28">
      <c r="K1147" s="25"/>
      <c r="M1147" s="26"/>
      <c r="N1147" s="25"/>
      <c r="P1147" s="26"/>
      <c r="Q1147" s="25"/>
      <c r="S1147" s="26"/>
      <c r="T1147" s="25"/>
      <c r="V1147" s="26"/>
      <c r="W1147" s="25"/>
      <c r="Y1147" s="26"/>
      <c r="Z1147" s="25"/>
      <c r="AB1147" s="26"/>
    </row>
    <row r="1148" spans="11:28">
      <c r="K1148" s="25"/>
      <c r="M1148" s="26"/>
      <c r="N1148" s="25"/>
      <c r="P1148" s="26"/>
      <c r="Q1148" s="25"/>
      <c r="S1148" s="26"/>
      <c r="T1148" s="25"/>
      <c r="V1148" s="26"/>
      <c r="W1148" s="25"/>
      <c r="Y1148" s="26"/>
      <c r="Z1148" s="25"/>
      <c r="AB1148" s="26"/>
    </row>
    <row r="1149" spans="11:28">
      <c r="K1149" s="25"/>
      <c r="M1149" s="26"/>
      <c r="N1149" s="25"/>
      <c r="P1149" s="26"/>
      <c r="Q1149" s="25"/>
      <c r="S1149" s="26"/>
      <c r="T1149" s="25"/>
      <c r="V1149" s="26"/>
      <c r="W1149" s="25"/>
      <c r="Y1149" s="26"/>
      <c r="Z1149" s="25"/>
      <c r="AB1149" s="26"/>
    </row>
    <row r="1150" spans="11:28">
      <c r="K1150" s="25"/>
      <c r="M1150" s="26"/>
      <c r="N1150" s="25"/>
      <c r="P1150" s="26"/>
      <c r="Q1150" s="25"/>
      <c r="S1150" s="26"/>
      <c r="T1150" s="25"/>
      <c r="V1150" s="26"/>
      <c r="W1150" s="25"/>
      <c r="Y1150" s="26"/>
      <c r="Z1150" s="25"/>
      <c r="AB1150" s="26"/>
    </row>
    <row r="1151" spans="11:28">
      <c r="K1151" s="25"/>
      <c r="M1151" s="26"/>
      <c r="N1151" s="25"/>
      <c r="P1151" s="26"/>
      <c r="Q1151" s="25"/>
      <c r="S1151" s="26"/>
      <c r="T1151" s="25"/>
      <c r="V1151" s="26"/>
      <c r="W1151" s="25"/>
      <c r="Y1151" s="26"/>
      <c r="Z1151" s="25"/>
      <c r="AB1151" s="26"/>
    </row>
    <row r="1152" spans="11:28">
      <c r="K1152" s="25"/>
      <c r="M1152" s="26"/>
      <c r="N1152" s="25"/>
      <c r="P1152" s="26"/>
      <c r="Q1152" s="25"/>
      <c r="S1152" s="26"/>
      <c r="T1152" s="25"/>
      <c r="V1152" s="26"/>
      <c r="W1152" s="25"/>
      <c r="Y1152" s="26"/>
      <c r="Z1152" s="25"/>
      <c r="AB1152" s="26"/>
    </row>
    <row r="1153" spans="11:28">
      <c r="K1153" s="25"/>
      <c r="M1153" s="26"/>
      <c r="N1153" s="25"/>
      <c r="P1153" s="26"/>
      <c r="Q1153" s="25"/>
      <c r="S1153" s="26"/>
      <c r="T1153" s="25"/>
      <c r="V1153" s="26"/>
      <c r="W1153" s="25"/>
      <c r="Y1153" s="26"/>
      <c r="Z1153" s="25"/>
      <c r="AB1153" s="26"/>
    </row>
    <row r="1154" spans="11:28">
      <c r="K1154" s="25"/>
      <c r="M1154" s="26"/>
      <c r="N1154" s="25"/>
      <c r="P1154" s="26"/>
      <c r="Q1154" s="25"/>
      <c r="S1154" s="26"/>
      <c r="T1154" s="25"/>
      <c r="V1154" s="26"/>
      <c r="W1154" s="25"/>
      <c r="Y1154" s="26"/>
      <c r="Z1154" s="25"/>
      <c r="AB1154" s="26"/>
    </row>
    <row r="1155" spans="11:28">
      <c r="K1155" s="25"/>
      <c r="M1155" s="26"/>
      <c r="N1155" s="25"/>
      <c r="P1155" s="26"/>
      <c r="Q1155" s="25"/>
      <c r="S1155" s="26"/>
      <c r="T1155" s="25"/>
      <c r="V1155" s="26"/>
      <c r="W1155" s="25"/>
      <c r="Y1155" s="26"/>
      <c r="Z1155" s="25"/>
      <c r="AB1155" s="26"/>
    </row>
    <row r="1156" spans="11:28">
      <c r="K1156" s="25"/>
      <c r="M1156" s="26"/>
      <c r="N1156" s="25"/>
      <c r="P1156" s="26"/>
      <c r="Q1156" s="25"/>
      <c r="S1156" s="26"/>
      <c r="T1156" s="25"/>
      <c r="V1156" s="26"/>
      <c r="W1156" s="25"/>
      <c r="Y1156" s="26"/>
      <c r="Z1156" s="25"/>
      <c r="AB1156" s="26"/>
    </row>
    <row r="1157" spans="11:28">
      <c r="K1157" s="25"/>
      <c r="M1157" s="26"/>
      <c r="N1157" s="25"/>
      <c r="P1157" s="26"/>
      <c r="Q1157" s="25"/>
      <c r="S1157" s="26"/>
      <c r="T1157" s="25"/>
      <c r="V1157" s="26"/>
      <c r="W1157" s="25"/>
      <c r="Y1157" s="26"/>
      <c r="Z1157" s="25"/>
      <c r="AB1157" s="26"/>
    </row>
    <row r="1158" spans="11:28">
      <c r="K1158" s="25"/>
      <c r="M1158" s="26"/>
      <c r="N1158" s="25"/>
      <c r="P1158" s="26"/>
      <c r="Q1158" s="25"/>
      <c r="S1158" s="26"/>
      <c r="T1158" s="25"/>
      <c r="V1158" s="26"/>
      <c r="W1158" s="25"/>
      <c r="Y1158" s="26"/>
      <c r="Z1158" s="25"/>
      <c r="AB1158" s="26"/>
    </row>
    <row r="1159" spans="11:28">
      <c r="K1159" s="25"/>
      <c r="M1159" s="26"/>
      <c r="N1159" s="25"/>
      <c r="P1159" s="26"/>
      <c r="Q1159" s="25"/>
      <c r="S1159" s="26"/>
      <c r="T1159" s="25"/>
      <c r="V1159" s="26"/>
      <c r="W1159" s="25"/>
      <c r="Y1159" s="26"/>
      <c r="Z1159" s="25"/>
      <c r="AB1159" s="26"/>
    </row>
    <row r="1160" spans="11:28">
      <c r="K1160" s="25"/>
      <c r="M1160" s="26"/>
      <c r="N1160" s="25"/>
      <c r="P1160" s="26"/>
      <c r="Q1160" s="25"/>
      <c r="S1160" s="26"/>
      <c r="T1160" s="25"/>
      <c r="V1160" s="26"/>
      <c r="W1160" s="25"/>
      <c r="Y1160" s="26"/>
      <c r="Z1160" s="25"/>
      <c r="AB1160" s="26"/>
    </row>
    <row r="1161" spans="11:28">
      <c r="K1161" s="25"/>
      <c r="M1161" s="26"/>
      <c r="N1161" s="25"/>
      <c r="P1161" s="26"/>
      <c r="Q1161" s="25"/>
      <c r="S1161" s="26"/>
      <c r="T1161" s="25"/>
      <c r="V1161" s="26"/>
      <c r="W1161" s="25"/>
      <c r="Y1161" s="26"/>
      <c r="Z1161" s="25"/>
      <c r="AB1161" s="26"/>
    </row>
    <row r="1162" spans="11:28">
      <c r="K1162" s="25"/>
      <c r="M1162" s="26"/>
      <c r="N1162" s="25"/>
      <c r="P1162" s="26"/>
      <c r="Q1162" s="25"/>
      <c r="S1162" s="26"/>
      <c r="T1162" s="25"/>
      <c r="V1162" s="26"/>
      <c r="W1162" s="25"/>
      <c r="Y1162" s="26"/>
      <c r="Z1162" s="25"/>
      <c r="AB1162" s="26"/>
    </row>
    <row r="1163" spans="11:28">
      <c r="K1163" s="25"/>
      <c r="M1163" s="26"/>
      <c r="N1163" s="25"/>
      <c r="P1163" s="26"/>
      <c r="Q1163" s="25"/>
      <c r="S1163" s="26"/>
      <c r="T1163" s="25"/>
      <c r="V1163" s="26"/>
      <c r="W1163" s="25"/>
      <c r="Y1163" s="26"/>
      <c r="Z1163" s="25"/>
      <c r="AB1163" s="26"/>
    </row>
    <row r="1164" spans="11:28">
      <c r="K1164" s="25"/>
      <c r="M1164" s="26"/>
      <c r="N1164" s="25"/>
      <c r="P1164" s="26"/>
      <c r="Q1164" s="25"/>
      <c r="S1164" s="26"/>
      <c r="T1164" s="25"/>
      <c r="V1164" s="26"/>
      <c r="W1164" s="25"/>
      <c r="Y1164" s="26"/>
      <c r="Z1164" s="25"/>
      <c r="AB1164" s="26"/>
    </row>
    <row r="1165" spans="11:28">
      <c r="K1165" s="25"/>
      <c r="M1165" s="26"/>
      <c r="N1165" s="25"/>
      <c r="P1165" s="26"/>
      <c r="Q1165" s="25"/>
      <c r="S1165" s="26"/>
      <c r="T1165" s="25"/>
      <c r="V1165" s="26"/>
      <c r="W1165" s="25"/>
      <c r="Y1165" s="26"/>
      <c r="Z1165" s="25"/>
      <c r="AB1165" s="26"/>
    </row>
    <row r="1166" spans="11:28">
      <c r="K1166" s="25"/>
      <c r="M1166" s="26"/>
      <c r="N1166" s="25"/>
      <c r="P1166" s="26"/>
      <c r="Q1166" s="25"/>
      <c r="S1166" s="26"/>
      <c r="T1166" s="25"/>
      <c r="V1166" s="26"/>
      <c r="W1166" s="25"/>
      <c r="Y1166" s="26"/>
      <c r="Z1166" s="25"/>
      <c r="AB1166" s="26"/>
    </row>
    <row r="1167" spans="11:28">
      <c r="K1167" s="25"/>
      <c r="M1167" s="26"/>
      <c r="N1167" s="25"/>
      <c r="P1167" s="26"/>
      <c r="Q1167" s="25"/>
      <c r="S1167" s="26"/>
      <c r="T1167" s="25"/>
      <c r="V1167" s="26"/>
      <c r="W1167" s="25"/>
      <c r="Y1167" s="26"/>
      <c r="Z1167" s="25"/>
      <c r="AB1167" s="26"/>
    </row>
    <row r="1168" spans="11:28">
      <c r="K1168" s="25"/>
      <c r="M1168" s="26"/>
      <c r="N1168" s="25"/>
      <c r="P1168" s="26"/>
      <c r="Q1168" s="25"/>
      <c r="S1168" s="26"/>
      <c r="T1168" s="25"/>
      <c r="V1168" s="26"/>
      <c r="W1168" s="25"/>
      <c r="Y1168" s="26"/>
      <c r="Z1168" s="25"/>
      <c r="AB1168" s="26"/>
    </row>
    <row r="1169" spans="11:28">
      <c r="K1169" s="25"/>
      <c r="M1169" s="26"/>
      <c r="N1169" s="25"/>
      <c r="P1169" s="26"/>
      <c r="Q1169" s="25"/>
      <c r="S1169" s="26"/>
      <c r="T1169" s="25"/>
      <c r="V1169" s="26"/>
      <c r="W1169" s="25"/>
      <c r="Y1169" s="26"/>
      <c r="Z1169" s="25"/>
      <c r="AB1169" s="26"/>
    </row>
    <row r="1170" spans="11:28">
      <c r="K1170" s="25"/>
      <c r="M1170" s="26"/>
      <c r="N1170" s="25"/>
      <c r="P1170" s="26"/>
      <c r="Q1170" s="25"/>
      <c r="S1170" s="26"/>
      <c r="T1170" s="25"/>
      <c r="V1170" s="26"/>
      <c r="W1170" s="25"/>
      <c r="Y1170" s="26"/>
      <c r="Z1170" s="25"/>
      <c r="AB1170" s="26"/>
    </row>
    <row r="1171" spans="11:28">
      <c r="K1171" s="25"/>
      <c r="M1171" s="26"/>
      <c r="N1171" s="25"/>
      <c r="P1171" s="26"/>
      <c r="Q1171" s="25"/>
      <c r="S1171" s="26"/>
      <c r="T1171" s="25"/>
      <c r="V1171" s="26"/>
      <c r="W1171" s="25"/>
      <c r="Y1171" s="26"/>
      <c r="Z1171" s="25"/>
      <c r="AB1171" s="26"/>
    </row>
    <row r="1172" spans="11:28">
      <c r="K1172" s="25"/>
      <c r="M1172" s="26"/>
      <c r="N1172" s="25"/>
      <c r="P1172" s="26"/>
      <c r="Q1172" s="25"/>
      <c r="S1172" s="26"/>
      <c r="T1172" s="25"/>
      <c r="V1172" s="26"/>
      <c r="W1172" s="25"/>
      <c r="Y1172" s="26"/>
      <c r="Z1172" s="25"/>
      <c r="AB1172" s="26"/>
    </row>
    <row r="1173" spans="11:28">
      <c r="K1173" s="25"/>
      <c r="M1173" s="26"/>
      <c r="N1173" s="25"/>
      <c r="P1173" s="26"/>
      <c r="Q1173" s="25"/>
      <c r="S1173" s="26"/>
      <c r="T1173" s="25"/>
      <c r="V1173" s="26"/>
      <c r="W1173" s="25"/>
      <c r="Y1173" s="26"/>
      <c r="Z1173" s="25"/>
      <c r="AB1173" s="26"/>
    </row>
    <row r="1174" spans="11:28">
      <c r="K1174" s="25"/>
      <c r="M1174" s="26"/>
      <c r="N1174" s="25"/>
      <c r="P1174" s="26"/>
      <c r="Q1174" s="25"/>
      <c r="S1174" s="26"/>
      <c r="T1174" s="25"/>
      <c r="V1174" s="26"/>
      <c r="W1174" s="25"/>
      <c r="Y1174" s="26"/>
      <c r="Z1174" s="25"/>
      <c r="AB1174" s="26"/>
    </row>
    <row r="1175" spans="11:28">
      <c r="K1175" s="25"/>
      <c r="M1175" s="26"/>
      <c r="N1175" s="25"/>
      <c r="P1175" s="26"/>
      <c r="Q1175" s="25"/>
      <c r="S1175" s="26"/>
      <c r="T1175" s="25"/>
      <c r="V1175" s="26"/>
      <c r="W1175" s="25"/>
      <c r="Y1175" s="26"/>
      <c r="Z1175" s="25"/>
      <c r="AB1175" s="26"/>
    </row>
    <row r="1176" spans="11:28">
      <c r="K1176" s="25"/>
      <c r="M1176" s="26"/>
      <c r="N1176" s="25"/>
      <c r="P1176" s="26"/>
      <c r="Q1176" s="25"/>
      <c r="S1176" s="26"/>
      <c r="T1176" s="25"/>
      <c r="V1176" s="26"/>
      <c r="W1176" s="25"/>
      <c r="Y1176" s="26"/>
      <c r="Z1176" s="25"/>
      <c r="AB1176" s="26"/>
    </row>
    <row r="1177" spans="11:28">
      <c r="K1177" s="25"/>
      <c r="M1177" s="26"/>
      <c r="N1177" s="25"/>
      <c r="P1177" s="26"/>
      <c r="Q1177" s="25"/>
      <c r="S1177" s="26"/>
      <c r="T1177" s="25"/>
      <c r="V1177" s="26"/>
      <c r="W1177" s="25"/>
      <c r="Y1177" s="26"/>
      <c r="Z1177" s="25"/>
      <c r="AB1177" s="26"/>
    </row>
    <row r="1178" spans="11:28">
      <c r="K1178" s="25"/>
      <c r="M1178" s="26"/>
      <c r="N1178" s="25"/>
      <c r="P1178" s="26"/>
      <c r="Q1178" s="25"/>
      <c r="S1178" s="26"/>
      <c r="T1178" s="25"/>
      <c r="V1178" s="26"/>
      <c r="W1178" s="25"/>
      <c r="Y1178" s="26"/>
      <c r="Z1178" s="25"/>
      <c r="AB1178" s="26"/>
    </row>
    <row r="1179" spans="11:28">
      <c r="K1179" s="25"/>
      <c r="M1179" s="26"/>
      <c r="N1179" s="25"/>
      <c r="P1179" s="26"/>
      <c r="Q1179" s="25"/>
      <c r="S1179" s="26"/>
      <c r="T1179" s="25"/>
      <c r="V1179" s="26"/>
      <c r="W1179" s="25"/>
      <c r="Y1179" s="26"/>
      <c r="Z1179" s="25"/>
      <c r="AB1179" s="26"/>
    </row>
    <row r="1180" spans="11:28">
      <c r="K1180" s="25"/>
      <c r="M1180" s="26"/>
      <c r="N1180" s="25"/>
      <c r="P1180" s="26"/>
      <c r="Q1180" s="25"/>
      <c r="S1180" s="26"/>
      <c r="T1180" s="25"/>
      <c r="V1180" s="26"/>
      <c r="W1180" s="25"/>
      <c r="Y1180" s="26"/>
      <c r="Z1180" s="25"/>
      <c r="AB1180" s="26"/>
    </row>
    <row r="1181" spans="11:28">
      <c r="K1181" s="25"/>
      <c r="M1181" s="26"/>
      <c r="N1181" s="25"/>
      <c r="P1181" s="26"/>
      <c r="Q1181" s="25"/>
      <c r="S1181" s="26"/>
      <c r="T1181" s="25"/>
      <c r="V1181" s="26"/>
      <c r="W1181" s="25"/>
      <c r="Y1181" s="26"/>
      <c r="Z1181" s="25"/>
      <c r="AB1181" s="26"/>
    </row>
    <row r="1182" spans="11:28">
      <c r="K1182" s="25"/>
      <c r="M1182" s="26"/>
      <c r="N1182" s="25"/>
      <c r="P1182" s="26"/>
      <c r="Q1182" s="25"/>
      <c r="S1182" s="26"/>
      <c r="T1182" s="25"/>
      <c r="V1182" s="26"/>
      <c r="W1182" s="25"/>
      <c r="Y1182" s="26"/>
      <c r="Z1182" s="25"/>
      <c r="AB1182" s="26"/>
    </row>
    <row r="1183" spans="11:28">
      <c r="K1183" s="25"/>
      <c r="M1183" s="26"/>
      <c r="N1183" s="25"/>
      <c r="P1183" s="26"/>
      <c r="Q1183" s="25"/>
      <c r="S1183" s="26"/>
      <c r="T1183" s="25"/>
      <c r="V1183" s="26"/>
      <c r="W1183" s="25"/>
      <c r="Y1183" s="26"/>
      <c r="Z1183" s="25"/>
      <c r="AB1183" s="26"/>
    </row>
    <row r="1184" spans="11:28">
      <c r="K1184" s="25"/>
      <c r="M1184" s="26"/>
      <c r="N1184" s="25"/>
      <c r="P1184" s="26"/>
      <c r="Q1184" s="25"/>
      <c r="S1184" s="26"/>
      <c r="T1184" s="25"/>
      <c r="V1184" s="26"/>
      <c r="W1184" s="25"/>
      <c r="Y1184" s="26"/>
      <c r="Z1184" s="25"/>
      <c r="AB1184" s="26"/>
    </row>
    <row r="1185" spans="11:28">
      <c r="K1185" s="25"/>
      <c r="M1185" s="26"/>
      <c r="N1185" s="25"/>
      <c r="P1185" s="26"/>
      <c r="Q1185" s="25"/>
      <c r="S1185" s="26"/>
      <c r="T1185" s="25"/>
      <c r="V1185" s="26"/>
      <c r="W1185" s="25"/>
      <c r="Y1185" s="26"/>
      <c r="Z1185" s="25"/>
      <c r="AB1185" s="26"/>
    </row>
    <row r="1186" spans="11:28">
      <c r="K1186" s="25"/>
      <c r="M1186" s="26"/>
      <c r="N1186" s="25"/>
      <c r="P1186" s="26"/>
      <c r="Q1186" s="25"/>
      <c r="S1186" s="26"/>
      <c r="T1186" s="25"/>
      <c r="V1186" s="26"/>
      <c r="W1186" s="25"/>
      <c r="Y1186" s="26"/>
      <c r="Z1186" s="25"/>
      <c r="AB1186" s="26"/>
    </row>
    <row r="1187" spans="11:28">
      <c r="K1187" s="25"/>
      <c r="M1187" s="26"/>
      <c r="N1187" s="25"/>
      <c r="P1187" s="26"/>
      <c r="Q1187" s="25"/>
      <c r="S1187" s="26"/>
      <c r="T1187" s="25"/>
      <c r="V1187" s="26"/>
      <c r="W1187" s="25"/>
      <c r="Y1187" s="26"/>
      <c r="Z1187" s="25"/>
      <c r="AB1187" s="26"/>
    </row>
    <row r="1188" spans="11:28">
      <c r="K1188" s="25"/>
      <c r="M1188" s="26"/>
      <c r="N1188" s="25"/>
      <c r="P1188" s="26"/>
      <c r="Q1188" s="25"/>
      <c r="S1188" s="26"/>
      <c r="T1188" s="25"/>
      <c r="V1188" s="26"/>
      <c r="W1188" s="25"/>
      <c r="Y1188" s="26"/>
      <c r="Z1188" s="25"/>
      <c r="AB1188" s="26"/>
    </row>
    <row r="1189" spans="11:28">
      <c r="K1189" s="25"/>
      <c r="M1189" s="26"/>
      <c r="N1189" s="25"/>
      <c r="P1189" s="26"/>
      <c r="Q1189" s="25"/>
      <c r="S1189" s="26"/>
      <c r="T1189" s="25"/>
      <c r="V1189" s="26"/>
      <c r="W1189" s="25"/>
      <c r="Y1189" s="26"/>
      <c r="Z1189" s="25"/>
      <c r="AB1189" s="26"/>
    </row>
    <row r="1190" spans="11:28">
      <c r="K1190" s="25"/>
      <c r="M1190" s="26"/>
      <c r="N1190" s="25"/>
      <c r="P1190" s="26"/>
      <c r="Q1190" s="25"/>
      <c r="S1190" s="26"/>
      <c r="T1190" s="25"/>
      <c r="V1190" s="26"/>
      <c r="W1190" s="25"/>
      <c r="Y1190" s="26"/>
      <c r="Z1190" s="25"/>
      <c r="AB1190" s="26"/>
    </row>
    <row r="1191" spans="11:28">
      <c r="K1191" s="25"/>
      <c r="M1191" s="26"/>
      <c r="N1191" s="25"/>
      <c r="P1191" s="26"/>
      <c r="Q1191" s="25"/>
      <c r="S1191" s="26"/>
      <c r="T1191" s="25"/>
      <c r="V1191" s="26"/>
      <c r="W1191" s="25"/>
      <c r="Y1191" s="26"/>
      <c r="Z1191" s="25"/>
      <c r="AB1191" s="26"/>
    </row>
    <row r="1192" spans="11:28">
      <c r="K1192" s="25"/>
      <c r="M1192" s="26"/>
      <c r="N1192" s="25"/>
      <c r="P1192" s="26"/>
      <c r="Q1192" s="25"/>
      <c r="S1192" s="26"/>
      <c r="T1192" s="25"/>
      <c r="V1192" s="26"/>
      <c r="W1192" s="25"/>
      <c r="Y1192" s="26"/>
      <c r="Z1192" s="25"/>
      <c r="AB1192" s="26"/>
    </row>
    <row r="1193" spans="11:28">
      <c r="K1193" s="25"/>
      <c r="M1193" s="26"/>
      <c r="N1193" s="25"/>
      <c r="P1193" s="26"/>
      <c r="Q1193" s="25"/>
      <c r="S1193" s="26"/>
      <c r="T1193" s="25"/>
      <c r="V1193" s="26"/>
      <c r="W1193" s="25"/>
      <c r="Y1193" s="26"/>
      <c r="Z1193" s="25"/>
      <c r="AB1193" s="26"/>
    </row>
    <row r="1194" spans="11:28">
      <c r="K1194" s="25"/>
      <c r="M1194" s="26"/>
      <c r="N1194" s="25"/>
      <c r="P1194" s="26"/>
      <c r="Q1194" s="25"/>
      <c r="S1194" s="26"/>
      <c r="T1194" s="25"/>
      <c r="V1194" s="26"/>
      <c r="W1194" s="25"/>
      <c r="Y1194" s="26"/>
      <c r="Z1194" s="25"/>
      <c r="AB1194" s="26"/>
    </row>
    <row r="1195" spans="11:28">
      <c r="K1195" s="25"/>
      <c r="M1195" s="26"/>
      <c r="N1195" s="25"/>
      <c r="P1195" s="26"/>
      <c r="Q1195" s="25"/>
      <c r="S1195" s="26"/>
      <c r="T1195" s="25"/>
      <c r="V1195" s="26"/>
      <c r="W1195" s="25"/>
      <c r="Y1195" s="26"/>
      <c r="Z1195" s="25"/>
      <c r="AB1195" s="26"/>
    </row>
    <row r="1196" spans="11:28">
      <c r="K1196" s="25"/>
      <c r="M1196" s="26"/>
      <c r="N1196" s="25"/>
      <c r="P1196" s="26"/>
      <c r="Q1196" s="25"/>
      <c r="S1196" s="26"/>
      <c r="T1196" s="25"/>
      <c r="V1196" s="26"/>
      <c r="W1196" s="25"/>
      <c r="Y1196" s="26"/>
      <c r="Z1196" s="25"/>
      <c r="AB1196" s="26"/>
    </row>
    <row r="1197" spans="11:28">
      <c r="K1197" s="25"/>
      <c r="M1197" s="26"/>
      <c r="N1197" s="25"/>
      <c r="P1197" s="26"/>
      <c r="Q1197" s="25"/>
      <c r="S1197" s="26"/>
      <c r="T1197" s="25"/>
      <c r="V1197" s="26"/>
      <c r="W1197" s="25"/>
      <c r="Y1197" s="26"/>
      <c r="Z1197" s="25"/>
      <c r="AB1197" s="26"/>
    </row>
    <row r="1198" spans="11:28">
      <c r="K1198" s="25"/>
      <c r="M1198" s="26"/>
      <c r="N1198" s="25"/>
      <c r="P1198" s="26"/>
      <c r="Q1198" s="25"/>
      <c r="S1198" s="26"/>
      <c r="T1198" s="25"/>
      <c r="V1198" s="26"/>
      <c r="W1198" s="25"/>
      <c r="Y1198" s="26"/>
      <c r="Z1198" s="25"/>
      <c r="AB1198" s="26"/>
    </row>
    <row r="1199" spans="11:28">
      <c r="K1199" s="25"/>
      <c r="M1199" s="26"/>
      <c r="N1199" s="25"/>
      <c r="P1199" s="26"/>
      <c r="Q1199" s="25"/>
      <c r="S1199" s="26"/>
      <c r="T1199" s="25"/>
      <c r="V1199" s="26"/>
      <c r="W1199" s="25"/>
      <c r="Y1199" s="26"/>
      <c r="Z1199" s="25"/>
      <c r="AB1199" s="26"/>
    </row>
    <row r="1200" spans="11:28">
      <c r="K1200" s="25"/>
      <c r="M1200" s="26"/>
      <c r="N1200" s="25"/>
      <c r="P1200" s="26"/>
      <c r="Q1200" s="25"/>
      <c r="S1200" s="26"/>
      <c r="T1200" s="25"/>
      <c r="V1200" s="26"/>
      <c r="W1200" s="25"/>
      <c r="Y1200" s="26"/>
      <c r="Z1200" s="25"/>
      <c r="AB1200" s="26"/>
    </row>
    <row r="1201" spans="11:28">
      <c r="K1201" s="25"/>
      <c r="M1201" s="26"/>
      <c r="N1201" s="25"/>
      <c r="P1201" s="26"/>
      <c r="Q1201" s="25"/>
      <c r="S1201" s="26"/>
      <c r="T1201" s="25"/>
      <c r="V1201" s="26"/>
      <c r="W1201" s="25"/>
      <c r="Y1201" s="26"/>
      <c r="Z1201" s="25"/>
      <c r="AB1201" s="26"/>
    </row>
    <row r="1202" spans="11:28">
      <c r="K1202" s="25"/>
      <c r="M1202" s="26"/>
      <c r="N1202" s="25"/>
      <c r="P1202" s="26"/>
      <c r="Q1202" s="25"/>
      <c r="S1202" s="26"/>
      <c r="T1202" s="25"/>
      <c r="V1202" s="26"/>
      <c r="W1202" s="25"/>
      <c r="Y1202" s="26"/>
      <c r="Z1202" s="25"/>
      <c r="AB1202" s="26"/>
    </row>
    <row r="1203" spans="11:28">
      <c r="K1203" s="25"/>
      <c r="M1203" s="26"/>
      <c r="N1203" s="25"/>
      <c r="P1203" s="26"/>
      <c r="Q1203" s="25"/>
      <c r="S1203" s="26"/>
      <c r="T1203" s="25"/>
      <c r="V1203" s="26"/>
      <c r="W1203" s="25"/>
      <c r="Y1203" s="26"/>
      <c r="Z1203" s="25"/>
      <c r="AB1203" s="26"/>
    </row>
    <row r="1204" spans="11:28">
      <c r="K1204" s="25"/>
      <c r="M1204" s="26"/>
      <c r="N1204" s="25"/>
      <c r="P1204" s="26"/>
      <c r="Q1204" s="25"/>
      <c r="S1204" s="26"/>
      <c r="T1204" s="25"/>
      <c r="V1204" s="26"/>
      <c r="W1204" s="25"/>
      <c r="Y1204" s="26"/>
      <c r="Z1204" s="25"/>
      <c r="AB1204" s="26"/>
    </row>
    <row r="1205" spans="11:28">
      <c r="K1205" s="25"/>
      <c r="M1205" s="26"/>
      <c r="N1205" s="25"/>
      <c r="P1205" s="26"/>
      <c r="Q1205" s="25"/>
      <c r="S1205" s="26"/>
      <c r="T1205" s="25"/>
      <c r="V1205" s="26"/>
      <c r="W1205" s="25"/>
      <c r="Y1205" s="26"/>
      <c r="Z1205" s="25"/>
      <c r="AB1205" s="26"/>
    </row>
    <row r="1206" spans="11:28">
      <c r="K1206" s="25"/>
      <c r="M1206" s="26"/>
      <c r="N1206" s="25"/>
      <c r="P1206" s="26"/>
      <c r="Q1206" s="25"/>
      <c r="S1206" s="26"/>
      <c r="T1206" s="25"/>
      <c r="V1206" s="26"/>
      <c r="W1206" s="25"/>
      <c r="Y1206" s="26"/>
      <c r="Z1206" s="25"/>
      <c r="AB1206" s="26"/>
    </row>
    <row r="1207" spans="11:28">
      <c r="K1207" s="25"/>
      <c r="M1207" s="26"/>
      <c r="N1207" s="25"/>
      <c r="P1207" s="26"/>
      <c r="Q1207" s="25"/>
      <c r="S1207" s="26"/>
      <c r="T1207" s="25"/>
      <c r="V1207" s="26"/>
      <c r="W1207" s="25"/>
      <c r="Y1207" s="26"/>
      <c r="Z1207" s="25"/>
      <c r="AB1207" s="26"/>
    </row>
    <row r="1208" spans="11:28">
      <c r="K1208" s="25"/>
      <c r="M1208" s="26"/>
      <c r="N1208" s="25"/>
      <c r="P1208" s="26"/>
      <c r="Q1208" s="25"/>
      <c r="S1208" s="26"/>
      <c r="T1208" s="25"/>
      <c r="V1208" s="26"/>
      <c r="W1208" s="25"/>
      <c r="Y1208" s="26"/>
      <c r="Z1208" s="25"/>
      <c r="AB1208" s="26"/>
    </row>
    <row r="1209" spans="11:28">
      <c r="K1209" s="25"/>
      <c r="M1209" s="26"/>
      <c r="N1209" s="25"/>
      <c r="P1209" s="26"/>
      <c r="Q1209" s="25"/>
      <c r="S1209" s="26"/>
      <c r="T1209" s="25"/>
      <c r="V1209" s="26"/>
      <c r="W1209" s="25"/>
      <c r="Y1209" s="26"/>
      <c r="Z1209" s="25"/>
      <c r="AB1209" s="26"/>
    </row>
    <row r="1210" spans="11:28">
      <c r="K1210" s="25"/>
      <c r="M1210" s="26"/>
      <c r="N1210" s="25"/>
      <c r="P1210" s="26"/>
      <c r="Q1210" s="25"/>
      <c r="S1210" s="26"/>
      <c r="T1210" s="25"/>
      <c r="V1210" s="26"/>
      <c r="W1210" s="25"/>
      <c r="Y1210" s="26"/>
      <c r="Z1210" s="25"/>
      <c r="AB1210" s="26"/>
    </row>
    <row r="1211" spans="11:28">
      <c r="K1211" s="25"/>
      <c r="M1211" s="26"/>
      <c r="N1211" s="25"/>
      <c r="P1211" s="26"/>
      <c r="Q1211" s="25"/>
      <c r="S1211" s="26"/>
      <c r="T1211" s="25"/>
      <c r="V1211" s="26"/>
      <c r="W1211" s="25"/>
      <c r="Y1211" s="26"/>
      <c r="Z1211" s="25"/>
      <c r="AB1211" s="26"/>
    </row>
    <row r="1212" spans="11:28">
      <c r="K1212" s="25"/>
      <c r="M1212" s="26"/>
      <c r="N1212" s="25"/>
      <c r="P1212" s="26"/>
      <c r="Q1212" s="25"/>
      <c r="S1212" s="26"/>
      <c r="T1212" s="25"/>
      <c r="V1212" s="26"/>
      <c r="W1212" s="25"/>
      <c r="Y1212" s="26"/>
      <c r="Z1212" s="25"/>
      <c r="AB1212" s="26"/>
    </row>
    <row r="1213" spans="11:28">
      <c r="K1213" s="25"/>
      <c r="M1213" s="26"/>
      <c r="N1213" s="25"/>
      <c r="P1213" s="26"/>
      <c r="Q1213" s="25"/>
      <c r="S1213" s="26"/>
      <c r="T1213" s="25"/>
      <c r="V1213" s="26"/>
      <c r="W1213" s="25"/>
      <c r="Y1213" s="26"/>
      <c r="Z1213" s="25"/>
      <c r="AB1213" s="26"/>
    </row>
    <row r="1214" spans="11:28">
      <c r="K1214" s="25"/>
      <c r="M1214" s="26"/>
      <c r="N1214" s="25"/>
      <c r="P1214" s="26"/>
      <c r="Q1214" s="25"/>
      <c r="S1214" s="26"/>
      <c r="T1214" s="25"/>
      <c r="V1214" s="26"/>
      <c r="W1214" s="25"/>
      <c r="Y1214" s="26"/>
      <c r="Z1214" s="25"/>
      <c r="AB1214" s="26"/>
    </row>
    <row r="1215" spans="11:28">
      <c r="K1215" s="25"/>
      <c r="M1215" s="26"/>
      <c r="N1215" s="25"/>
      <c r="P1215" s="26"/>
      <c r="Q1215" s="25"/>
      <c r="S1215" s="26"/>
      <c r="T1215" s="25"/>
      <c r="V1215" s="26"/>
      <c r="W1215" s="25"/>
      <c r="Y1215" s="26"/>
      <c r="Z1215" s="25"/>
      <c r="AB1215" s="26"/>
    </row>
    <row r="1216" spans="11:28">
      <c r="K1216" s="25"/>
      <c r="M1216" s="26"/>
      <c r="N1216" s="25"/>
      <c r="P1216" s="26"/>
      <c r="Q1216" s="25"/>
      <c r="S1216" s="26"/>
      <c r="T1216" s="25"/>
      <c r="V1216" s="26"/>
      <c r="W1216" s="25"/>
      <c r="Y1216" s="26"/>
      <c r="Z1216" s="25"/>
      <c r="AB1216" s="26"/>
    </row>
    <row r="1217" spans="11:28">
      <c r="K1217" s="25"/>
      <c r="M1217" s="26"/>
      <c r="N1217" s="25"/>
      <c r="P1217" s="26"/>
      <c r="Q1217" s="25"/>
      <c r="S1217" s="26"/>
      <c r="T1217" s="25"/>
      <c r="V1217" s="26"/>
      <c r="W1217" s="25"/>
      <c r="Y1217" s="26"/>
      <c r="Z1217" s="25"/>
      <c r="AB1217" s="26"/>
    </row>
    <row r="1218" spans="11:28">
      <c r="K1218" s="25"/>
      <c r="M1218" s="26"/>
      <c r="N1218" s="25"/>
      <c r="P1218" s="26"/>
      <c r="Q1218" s="25"/>
      <c r="S1218" s="26"/>
      <c r="T1218" s="25"/>
      <c r="V1218" s="26"/>
      <c r="W1218" s="25"/>
      <c r="Y1218" s="26"/>
      <c r="Z1218" s="25"/>
      <c r="AB1218" s="26"/>
    </row>
    <row r="1219" spans="11:28">
      <c r="K1219" s="25"/>
      <c r="M1219" s="26"/>
      <c r="N1219" s="25"/>
      <c r="P1219" s="26"/>
      <c r="Q1219" s="25"/>
      <c r="S1219" s="26"/>
      <c r="T1219" s="25"/>
      <c r="V1219" s="26"/>
      <c r="W1219" s="25"/>
      <c r="Y1219" s="26"/>
      <c r="Z1219" s="25"/>
      <c r="AB1219" s="26"/>
    </row>
    <row r="1220" spans="11:28">
      <c r="K1220" s="25"/>
      <c r="M1220" s="26"/>
      <c r="N1220" s="25"/>
      <c r="P1220" s="26"/>
      <c r="Q1220" s="25"/>
      <c r="S1220" s="26"/>
      <c r="T1220" s="25"/>
      <c r="V1220" s="26"/>
      <c r="W1220" s="25"/>
      <c r="Y1220" s="26"/>
      <c r="Z1220" s="25"/>
      <c r="AB1220" s="26"/>
    </row>
    <row r="1221" spans="11:28">
      <c r="K1221" s="25"/>
      <c r="M1221" s="26"/>
      <c r="N1221" s="25"/>
      <c r="P1221" s="26"/>
      <c r="Q1221" s="25"/>
      <c r="S1221" s="26"/>
      <c r="T1221" s="25"/>
      <c r="V1221" s="26"/>
      <c r="W1221" s="25"/>
      <c r="Y1221" s="26"/>
      <c r="Z1221" s="25"/>
      <c r="AB1221" s="26"/>
    </row>
    <row r="1222" spans="11:28">
      <c r="K1222" s="25"/>
      <c r="M1222" s="26"/>
      <c r="N1222" s="25"/>
      <c r="P1222" s="26"/>
      <c r="Q1222" s="25"/>
      <c r="S1222" s="26"/>
      <c r="T1222" s="25"/>
      <c r="V1222" s="26"/>
      <c r="W1222" s="25"/>
      <c r="Y1222" s="26"/>
      <c r="Z1222" s="25"/>
      <c r="AB1222" s="26"/>
    </row>
    <row r="1223" spans="11:28">
      <c r="K1223" s="25"/>
      <c r="M1223" s="26"/>
      <c r="N1223" s="25"/>
      <c r="P1223" s="26"/>
      <c r="Q1223" s="25"/>
      <c r="S1223" s="26"/>
      <c r="T1223" s="25"/>
      <c r="V1223" s="26"/>
      <c r="W1223" s="25"/>
      <c r="Y1223" s="26"/>
      <c r="Z1223" s="25"/>
      <c r="AB1223" s="26"/>
    </row>
    <row r="1224" spans="11:28">
      <c r="K1224" s="25"/>
      <c r="M1224" s="26"/>
      <c r="N1224" s="25"/>
      <c r="P1224" s="26"/>
      <c r="Q1224" s="25"/>
      <c r="S1224" s="26"/>
      <c r="T1224" s="25"/>
      <c r="V1224" s="26"/>
      <c r="W1224" s="25"/>
      <c r="Y1224" s="26"/>
      <c r="Z1224" s="25"/>
      <c r="AB1224" s="26"/>
    </row>
    <row r="1225" spans="11:28">
      <c r="K1225" s="25"/>
      <c r="M1225" s="26"/>
      <c r="N1225" s="25"/>
      <c r="P1225" s="26"/>
      <c r="Q1225" s="25"/>
      <c r="S1225" s="26"/>
      <c r="T1225" s="25"/>
      <c r="V1225" s="26"/>
      <c r="W1225" s="25"/>
      <c r="Y1225" s="26"/>
      <c r="Z1225" s="25"/>
      <c r="AB1225" s="26"/>
    </row>
    <row r="1226" spans="11:28">
      <c r="K1226" s="25"/>
      <c r="M1226" s="26"/>
      <c r="N1226" s="25"/>
      <c r="P1226" s="26"/>
      <c r="Q1226" s="25"/>
      <c r="S1226" s="26"/>
      <c r="T1226" s="25"/>
      <c r="V1226" s="26"/>
      <c r="W1226" s="25"/>
      <c r="Y1226" s="26"/>
      <c r="Z1226" s="25"/>
      <c r="AB1226" s="26"/>
    </row>
    <row r="1227" spans="11:28">
      <c r="K1227" s="25"/>
      <c r="M1227" s="26"/>
      <c r="N1227" s="25"/>
      <c r="P1227" s="26"/>
      <c r="Q1227" s="25"/>
      <c r="S1227" s="26"/>
      <c r="T1227" s="25"/>
      <c r="V1227" s="26"/>
      <c r="W1227" s="25"/>
      <c r="Y1227" s="26"/>
      <c r="Z1227" s="25"/>
      <c r="AB1227" s="26"/>
    </row>
    <row r="1228" spans="11:28">
      <c r="K1228" s="25"/>
      <c r="M1228" s="26"/>
      <c r="N1228" s="25"/>
      <c r="P1228" s="26"/>
      <c r="Q1228" s="25"/>
      <c r="S1228" s="26"/>
      <c r="T1228" s="25"/>
      <c r="V1228" s="26"/>
      <c r="W1228" s="25"/>
      <c r="Y1228" s="26"/>
      <c r="Z1228" s="25"/>
      <c r="AB1228" s="26"/>
    </row>
    <row r="1229" spans="11:28">
      <c r="K1229" s="25"/>
      <c r="M1229" s="26"/>
      <c r="N1229" s="25"/>
      <c r="P1229" s="26"/>
      <c r="Q1229" s="25"/>
      <c r="S1229" s="26"/>
      <c r="T1229" s="25"/>
      <c r="V1229" s="26"/>
      <c r="W1229" s="25"/>
      <c r="Y1229" s="26"/>
      <c r="Z1229" s="25"/>
      <c r="AB1229" s="26"/>
    </row>
    <row r="1230" spans="11:28">
      <c r="K1230" s="25"/>
      <c r="M1230" s="26"/>
      <c r="N1230" s="25"/>
      <c r="P1230" s="26"/>
      <c r="Q1230" s="25"/>
      <c r="S1230" s="26"/>
      <c r="T1230" s="25"/>
      <c r="V1230" s="26"/>
      <c r="W1230" s="25"/>
      <c r="Y1230" s="26"/>
      <c r="Z1230" s="25"/>
      <c r="AB1230" s="26"/>
    </row>
    <row r="1231" spans="11:28">
      <c r="K1231" s="25"/>
      <c r="M1231" s="26"/>
      <c r="N1231" s="25"/>
      <c r="P1231" s="26"/>
      <c r="Q1231" s="25"/>
      <c r="S1231" s="26"/>
      <c r="T1231" s="25"/>
      <c r="V1231" s="26"/>
      <c r="W1231" s="25"/>
      <c r="Y1231" s="26"/>
      <c r="Z1231" s="25"/>
      <c r="AB1231" s="26"/>
    </row>
    <row r="1232" spans="11:28">
      <c r="K1232" s="25"/>
      <c r="M1232" s="26"/>
      <c r="N1232" s="25"/>
      <c r="P1232" s="26"/>
      <c r="Q1232" s="25"/>
      <c r="S1232" s="26"/>
      <c r="T1232" s="25"/>
      <c r="V1232" s="26"/>
      <c r="W1232" s="25"/>
      <c r="Y1232" s="26"/>
      <c r="Z1232" s="25"/>
      <c r="AB1232" s="26"/>
    </row>
    <row r="1233" spans="6:28">
      <c r="K1233" s="25"/>
      <c r="M1233" s="26"/>
      <c r="N1233" s="25"/>
      <c r="P1233" s="26"/>
      <c r="Q1233" s="25"/>
      <c r="S1233" s="26"/>
      <c r="T1233" s="25"/>
      <c r="V1233" s="26"/>
      <c r="W1233" s="25"/>
      <c r="Y1233" s="26"/>
      <c r="Z1233" s="25"/>
      <c r="AB1233" s="26"/>
    </row>
    <row r="1234" spans="6:28">
      <c r="K1234" s="25"/>
      <c r="M1234" s="26"/>
      <c r="N1234" s="25"/>
      <c r="P1234" s="26"/>
      <c r="Q1234" s="25"/>
      <c r="S1234" s="26"/>
      <c r="T1234" s="25"/>
      <c r="V1234" s="26"/>
      <c r="W1234" s="25"/>
      <c r="Y1234" s="26"/>
      <c r="Z1234" s="25"/>
      <c r="AB1234" s="26"/>
    </row>
    <row r="1235" spans="6:28">
      <c r="K1235" s="25"/>
      <c r="M1235" s="26"/>
      <c r="N1235" s="25"/>
      <c r="P1235" s="26"/>
      <c r="Q1235" s="25"/>
      <c r="S1235" s="26"/>
      <c r="T1235" s="25"/>
      <c r="V1235" s="26"/>
      <c r="W1235" s="25"/>
      <c r="Y1235" s="26"/>
      <c r="Z1235" s="25"/>
      <c r="AB1235" s="26"/>
    </row>
    <row r="1236" spans="6:28">
      <c r="K1236" s="25"/>
      <c r="M1236" s="26"/>
      <c r="N1236" s="25"/>
      <c r="P1236" s="26"/>
      <c r="Q1236" s="25"/>
      <c r="S1236" s="26"/>
      <c r="T1236" s="25"/>
      <c r="V1236" s="26"/>
      <c r="W1236" s="25"/>
      <c r="Y1236" s="26"/>
      <c r="Z1236" s="25"/>
      <c r="AB1236" s="26"/>
    </row>
    <row r="1237" spans="6:28">
      <c r="K1237" s="25"/>
      <c r="M1237" s="26"/>
      <c r="N1237" s="25"/>
      <c r="P1237" s="26"/>
      <c r="Q1237" s="25"/>
      <c r="S1237" s="26"/>
      <c r="T1237" s="25"/>
      <c r="V1237" s="26"/>
      <c r="W1237" s="25"/>
      <c r="Y1237" s="26"/>
      <c r="Z1237" s="25"/>
      <c r="AB1237" s="26"/>
    </row>
    <row r="1238" spans="6:28">
      <c r="K1238" s="25"/>
      <c r="M1238" s="26"/>
      <c r="N1238" s="25"/>
      <c r="P1238" s="26"/>
      <c r="Q1238" s="25"/>
      <c r="S1238" s="26"/>
      <c r="T1238" s="25"/>
      <c r="V1238" s="26"/>
      <c r="W1238" s="25"/>
      <c r="Y1238" s="26"/>
      <c r="Z1238" s="25"/>
      <c r="AB1238" s="26"/>
    </row>
    <row r="1239" spans="6:28">
      <c r="K1239" s="25"/>
      <c r="M1239" s="26"/>
      <c r="N1239" s="25"/>
      <c r="P1239" s="26"/>
      <c r="Q1239" s="25"/>
      <c r="S1239" s="26"/>
      <c r="T1239" s="25"/>
      <c r="V1239" s="26"/>
      <c r="W1239" s="25"/>
      <c r="Y1239" s="26"/>
      <c r="Z1239" s="25"/>
      <c r="AB1239" s="26"/>
    </row>
    <row r="1240" spans="6:28">
      <c r="K1240" s="25"/>
      <c r="M1240" s="26"/>
      <c r="N1240" s="25"/>
      <c r="P1240" s="26"/>
      <c r="Q1240" s="25"/>
      <c r="S1240" s="26"/>
      <c r="T1240" s="25"/>
      <c r="V1240" s="26"/>
      <c r="W1240" s="25"/>
      <c r="Y1240" s="26"/>
      <c r="Z1240" s="25"/>
      <c r="AB1240" s="26"/>
    </row>
    <row r="1241" spans="6:28" s="14" customFormat="1">
      <c r="F1241" s="15"/>
      <c r="K1241" s="16"/>
      <c r="M1241" s="17"/>
      <c r="N1241" s="16"/>
      <c r="P1241" s="17"/>
      <c r="Q1241" s="16"/>
      <c r="S1241" s="17"/>
      <c r="T1241" s="16"/>
      <c r="V1241" s="17"/>
      <c r="W1241" s="16"/>
      <c r="Y1241" s="17"/>
      <c r="Z1241" s="16"/>
      <c r="AB1241" s="17"/>
    </row>
    <row r="1242" spans="6:28">
      <c r="K1242" s="25"/>
      <c r="M1242" s="26"/>
      <c r="N1242" s="25"/>
      <c r="P1242" s="26"/>
      <c r="Q1242" s="25"/>
      <c r="S1242" s="26"/>
      <c r="T1242" s="25"/>
      <c r="V1242" s="26"/>
      <c r="W1242" s="25"/>
      <c r="Y1242" s="26"/>
      <c r="Z1242" s="25"/>
      <c r="AB1242" s="26"/>
    </row>
    <row r="1243" spans="6:28">
      <c r="K1243" s="25"/>
      <c r="M1243" s="26"/>
      <c r="N1243" s="25"/>
      <c r="P1243" s="26"/>
      <c r="Q1243" s="25"/>
      <c r="S1243" s="26"/>
      <c r="T1243" s="25"/>
      <c r="V1243" s="26"/>
      <c r="W1243" s="25"/>
      <c r="Y1243" s="26"/>
      <c r="Z1243" s="25"/>
      <c r="AB1243" s="26"/>
    </row>
    <row r="1244" spans="6:28">
      <c r="K1244" s="25"/>
      <c r="M1244" s="26"/>
      <c r="N1244" s="25"/>
      <c r="P1244" s="26"/>
      <c r="Q1244" s="25"/>
      <c r="S1244" s="26"/>
      <c r="T1244" s="25"/>
      <c r="V1244" s="26"/>
      <c r="W1244" s="25"/>
      <c r="Y1244" s="26"/>
      <c r="Z1244" s="25"/>
      <c r="AB1244" s="26"/>
    </row>
    <row r="1245" spans="6:28">
      <c r="K1245" s="25"/>
      <c r="M1245" s="26"/>
      <c r="N1245" s="25"/>
      <c r="P1245" s="26"/>
      <c r="Q1245" s="25"/>
      <c r="S1245" s="26"/>
      <c r="T1245" s="25"/>
      <c r="V1245" s="26"/>
      <c r="W1245" s="25"/>
      <c r="Y1245" s="26"/>
      <c r="Z1245" s="25"/>
      <c r="AB1245" s="26"/>
    </row>
    <row r="1246" spans="6:28">
      <c r="K1246" s="25"/>
      <c r="M1246" s="26"/>
      <c r="N1246" s="25"/>
      <c r="P1246" s="26"/>
      <c r="Q1246" s="25"/>
      <c r="S1246" s="26"/>
      <c r="T1246" s="25"/>
      <c r="V1246" s="26"/>
      <c r="W1246" s="25"/>
      <c r="Y1246" s="26"/>
      <c r="Z1246" s="25"/>
      <c r="AB1246" s="26"/>
    </row>
    <row r="1247" spans="6:28">
      <c r="K1247" s="25"/>
      <c r="M1247" s="26"/>
      <c r="N1247" s="25"/>
      <c r="P1247" s="26"/>
      <c r="Q1247" s="25"/>
      <c r="S1247" s="26"/>
      <c r="T1247" s="25"/>
      <c r="V1247" s="26"/>
      <c r="W1247" s="25"/>
      <c r="Y1247" s="26"/>
      <c r="Z1247" s="25"/>
      <c r="AB1247" s="26"/>
    </row>
    <row r="1248" spans="6:28">
      <c r="K1248" s="25"/>
      <c r="M1248" s="26"/>
      <c r="N1248" s="25"/>
      <c r="P1248" s="26"/>
      <c r="Q1248" s="25"/>
      <c r="S1248" s="26"/>
      <c r="T1248" s="25"/>
      <c r="V1248" s="26"/>
      <c r="W1248" s="25"/>
      <c r="Y1248" s="26"/>
      <c r="Z1248" s="25"/>
      <c r="AB1248" s="26"/>
    </row>
    <row r="1249" spans="11:28">
      <c r="K1249" s="25"/>
      <c r="M1249" s="26"/>
      <c r="N1249" s="25"/>
      <c r="P1249" s="26"/>
      <c r="Q1249" s="25"/>
      <c r="S1249" s="26"/>
      <c r="T1249" s="25"/>
      <c r="V1249" s="26"/>
      <c r="W1249" s="25"/>
      <c r="Y1249" s="26"/>
      <c r="Z1249" s="25"/>
      <c r="AB1249" s="26"/>
    </row>
    <row r="1250" spans="11:28">
      <c r="K1250" s="25"/>
      <c r="M1250" s="26"/>
      <c r="N1250" s="25"/>
      <c r="P1250" s="26"/>
      <c r="Q1250" s="25"/>
      <c r="S1250" s="26"/>
      <c r="T1250" s="25"/>
      <c r="V1250" s="26"/>
      <c r="W1250" s="25"/>
      <c r="Y1250" s="26"/>
      <c r="Z1250" s="25"/>
      <c r="AB1250" s="26"/>
    </row>
    <row r="1251" spans="11:28">
      <c r="K1251" s="25"/>
      <c r="M1251" s="26"/>
      <c r="N1251" s="25"/>
      <c r="P1251" s="26"/>
      <c r="Q1251" s="25"/>
      <c r="S1251" s="26"/>
      <c r="T1251" s="25"/>
      <c r="V1251" s="26"/>
      <c r="W1251" s="25"/>
      <c r="Y1251" s="26"/>
      <c r="Z1251" s="25"/>
      <c r="AB1251" s="26"/>
    </row>
    <row r="1252" spans="11:28">
      <c r="K1252" s="25"/>
      <c r="M1252" s="26"/>
      <c r="N1252" s="25"/>
      <c r="P1252" s="26"/>
      <c r="Q1252" s="25"/>
      <c r="S1252" s="26"/>
      <c r="T1252" s="25"/>
      <c r="V1252" s="26"/>
      <c r="W1252" s="25"/>
      <c r="Y1252" s="26"/>
      <c r="Z1252" s="25"/>
      <c r="AB1252" s="26"/>
    </row>
    <row r="1253" spans="11:28">
      <c r="K1253" s="25"/>
      <c r="M1253" s="26"/>
      <c r="N1253" s="25"/>
      <c r="P1253" s="26"/>
      <c r="Q1253" s="25"/>
      <c r="S1253" s="26"/>
      <c r="T1253" s="25"/>
      <c r="V1253" s="26"/>
      <c r="W1253" s="25"/>
      <c r="Y1253" s="26"/>
      <c r="Z1253" s="25"/>
      <c r="AB1253" s="26"/>
    </row>
    <row r="1254" spans="11:28">
      <c r="K1254" s="25"/>
      <c r="M1254" s="26"/>
      <c r="N1254" s="25"/>
      <c r="P1254" s="26"/>
      <c r="Q1254" s="25"/>
      <c r="S1254" s="26"/>
      <c r="T1254" s="25"/>
      <c r="V1254" s="26"/>
      <c r="W1254" s="25"/>
      <c r="Y1254" s="26"/>
      <c r="Z1254" s="25"/>
      <c r="AB1254" s="26"/>
    </row>
    <row r="1255" spans="11:28">
      <c r="K1255" s="25"/>
      <c r="M1255" s="26"/>
      <c r="N1255" s="25"/>
      <c r="P1255" s="26"/>
      <c r="Q1255" s="25"/>
      <c r="S1255" s="26"/>
      <c r="T1255" s="25"/>
      <c r="V1255" s="26"/>
      <c r="W1255" s="25"/>
      <c r="Y1255" s="26"/>
      <c r="Z1255" s="25"/>
      <c r="AB1255" s="26"/>
    </row>
    <row r="1256" spans="11:28">
      <c r="K1256" s="25"/>
      <c r="M1256" s="26"/>
      <c r="N1256" s="25"/>
      <c r="P1256" s="26"/>
      <c r="Q1256" s="25"/>
      <c r="S1256" s="26"/>
      <c r="T1256" s="25"/>
      <c r="V1256" s="26"/>
      <c r="W1256" s="25"/>
      <c r="Y1256" s="26"/>
      <c r="Z1256" s="25"/>
      <c r="AB1256" s="26"/>
    </row>
    <row r="1257" spans="11:28">
      <c r="K1257" s="25"/>
      <c r="M1257" s="26"/>
      <c r="N1257" s="25"/>
      <c r="P1257" s="26"/>
      <c r="Q1257" s="25"/>
      <c r="S1257" s="26"/>
      <c r="T1257" s="25"/>
      <c r="V1257" s="26"/>
      <c r="W1257" s="25"/>
      <c r="Y1257" s="26"/>
      <c r="Z1257" s="25"/>
      <c r="AB1257" s="26"/>
    </row>
    <row r="1258" spans="11:28">
      <c r="K1258" s="25"/>
      <c r="M1258" s="26"/>
      <c r="N1258" s="25"/>
      <c r="P1258" s="26"/>
      <c r="Q1258" s="25"/>
      <c r="S1258" s="26"/>
      <c r="T1258" s="25"/>
      <c r="V1258" s="26"/>
      <c r="W1258" s="25"/>
      <c r="Y1258" s="26"/>
      <c r="Z1258" s="25"/>
      <c r="AB1258" s="26"/>
    </row>
    <row r="1259" spans="11:28">
      <c r="K1259" s="25"/>
      <c r="M1259" s="26"/>
      <c r="N1259" s="25"/>
      <c r="P1259" s="26"/>
      <c r="Q1259" s="25"/>
      <c r="S1259" s="26"/>
      <c r="T1259" s="25"/>
      <c r="V1259" s="26"/>
      <c r="W1259" s="25"/>
      <c r="Y1259" s="26"/>
      <c r="Z1259" s="25"/>
      <c r="AB1259" s="26"/>
    </row>
    <row r="1260" spans="11:28">
      <c r="K1260" s="25"/>
      <c r="M1260" s="26"/>
      <c r="N1260" s="25"/>
      <c r="P1260" s="26"/>
      <c r="Q1260" s="25"/>
      <c r="S1260" s="26"/>
      <c r="T1260" s="25"/>
      <c r="V1260" s="26"/>
      <c r="W1260" s="25"/>
      <c r="Y1260" s="26"/>
      <c r="Z1260" s="25"/>
      <c r="AB1260" s="26"/>
    </row>
    <row r="1261" spans="11:28">
      <c r="K1261" s="25"/>
      <c r="M1261" s="26"/>
      <c r="N1261" s="25"/>
      <c r="P1261" s="26"/>
      <c r="Q1261" s="25"/>
      <c r="S1261" s="26"/>
      <c r="T1261" s="25"/>
      <c r="V1261" s="26"/>
      <c r="W1261" s="25"/>
      <c r="Y1261" s="26"/>
      <c r="Z1261" s="25"/>
      <c r="AB1261" s="26"/>
    </row>
    <row r="1262" spans="11:28">
      <c r="K1262" s="25"/>
      <c r="M1262" s="26"/>
      <c r="N1262" s="25"/>
      <c r="P1262" s="26"/>
      <c r="Q1262" s="25"/>
      <c r="S1262" s="26"/>
      <c r="T1262" s="25"/>
      <c r="V1262" s="26"/>
      <c r="W1262" s="25"/>
      <c r="Y1262" s="26"/>
      <c r="Z1262" s="25"/>
      <c r="AB1262" s="26"/>
    </row>
    <row r="1263" spans="11:28">
      <c r="K1263" s="25"/>
      <c r="M1263" s="26"/>
      <c r="N1263" s="25"/>
      <c r="P1263" s="26"/>
      <c r="Q1263" s="25"/>
      <c r="S1263" s="26"/>
      <c r="T1263" s="25"/>
      <c r="V1263" s="26"/>
      <c r="W1263" s="25"/>
      <c r="Y1263" s="26"/>
      <c r="Z1263" s="25"/>
      <c r="AB1263" s="26"/>
    </row>
    <row r="1264" spans="11:28">
      <c r="K1264" s="25"/>
      <c r="M1264" s="26"/>
      <c r="N1264" s="25"/>
      <c r="P1264" s="26"/>
      <c r="Q1264" s="25"/>
      <c r="S1264" s="26"/>
      <c r="T1264" s="25"/>
      <c r="V1264" s="26"/>
      <c r="W1264" s="25"/>
      <c r="Y1264" s="26"/>
      <c r="Z1264" s="25"/>
      <c r="AB1264" s="26"/>
    </row>
    <row r="1265" spans="11:28">
      <c r="K1265" s="25"/>
      <c r="M1265" s="26"/>
      <c r="N1265" s="25"/>
      <c r="P1265" s="26"/>
      <c r="Q1265" s="25"/>
      <c r="S1265" s="26"/>
      <c r="T1265" s="25"/>
      <c r="V1265" s="26"/>
      <c r="W1265" s="25"/>
      <c r="Y1265" s="26"/>
      <c r="Z1265" s="25"/>
      <c r="AB1265" s="26"/>
    </row>
    <row r="1266" spans="11:28">
      <c r="K1266" s="25"/>
      <c r="M1266" s="26"/>
      <c r="N1266" s="25"/>
      <c r="P1266" s="26"/>
      <c r="Q1266" s="25"/>
      <c r="S1266" s="26"/>
      <c r="T1266" s="25"/>
      <c r="V1266" s="26"/>
      <c r="W1266" s="25"/>
      <c r="Y1266" s="26"/>
      <c r="Z1266" s="25"/>
      <c r="AB1266" s="26"/>
    </row>
    <row r="1267" spans="11:28">
      <c r="K1267" s="25"/>
      <c r="M1267" s="26"/>
      <c r="N1267" s="25"/>
      <c r="P1267" s="26"/>
      <c r="Q1267" s="25"/>
      <c r="S1267" s="26"/>
      <c r="T1267" s="25"/>
      <c r="V1267" s="26"/>
      <c r="W1267" s="25"/>
      <c r="Y1267" s="26"/>
      <c r="Z1267" s="25"/>
      <c r="AB1267" s="26"/>
    </row>
    <row r="1268" spans="11:28">
      <c r="K1268" s="25"/>
      <c r="M1268" s="26"/>
      <c r="N1268" s="25"/>
      <c r="P1268" s="26"/>
      <c r="Q1268" s="25"/>
      <c r="S1268" s="26"/>
      <c r="T1268" s="25"/>
      <c r="V1268" s="26"/>
      <c r="W1268" s="25"/>
      <c r="Y1268" s="26"/>
      <c r="Z1268" s="25"/>
      <c r="AB1268" s="26"/>
    </row>
    <row r="1269" spans="11:28">
      <c r="K1269" s="25"/>
      <c r="M1269" s="26"/>
      <c r="N1269" s="25"/>
      <c r="P1269" s="26"/>
      <c r="Q1269" s="25"/>
      <c r="S1269" s="26"/>
      <c r="T1269" s="25"/>
      <c r="V1269" s="26"/>
      <c r="W1269" s="25"/>
      <c r="Y1269" s="26"/>
      <c r="Z1269" s="25"/>
      <c r="AB1269" s="26"/>
    </row>
    <row r="1270" spans="11:28">
      <c r="K1270" s="25"/>
      <c r="M1270" s="26"/>
      <c r="N1270" s="25"/>
      <c r="P1270" s="26"/>
      <c r="Q1270" s="25"/>
      <c r="S1270" s="26"/>
      <c r="T1270" s="25"/>
      <c r="V1270" s="26"/>
      <c r="W1270" s="25"/>
      <c r="Y1270" s="26"/>
      <c r="Z1270" s="25"/>
      <c r="AB1270" s="26"/>
    </row>
    <row r="1271" spans="11:28">
      <c r="K1271" s="25"/>
      <c r="M1271" s="26"/>
      <c r="N1271" s="25"/>
      <c r="P1271" s="26"/>
      <c r="Q1271" s="25"/>
      <c r="S1271" s="26"/>
      <c r="T1271" s="25"/>
      <c r="V1271" s="26"/>
      <c r="W1271" s="25"/>
      <c r="Y1271" s="26"/>
      <c r="Z1271" s="25"/>
      <c r="AB1271" s="26"/>
    </row>
    <row r="1272" spans="11:28">
      <c r="K1272" s="25"/>
      <c r="M1272" s="26"/>
      <c r="N1272" s="25"/>
      <c r="P1272" s="26"/>
      <c r="Q1272" s="25"/>
      <c r="S1272" s="26"/>
      <c r="T1272" s="25"/>
      <c r="V1272" s="26"/>
      <c r="W1272" s="25"/>
      <c r="Y1272" s="26"/>
      <c r="Z1272" s="25"/>
      <c r="AB1272" s="26"/>
    </row>
    <row r="1273" spans="11:28">
      <c r="K1273" s="25"/>
      <c r="M1273" s="26"/>
      <c r="N1273" s="25"/>
      <c r="P1273" s="26"/>
      <c r="Q1273" s="25"/>
      <c r="S1273" s="26"/>
      <c r="T1273" s="25"/>
      <c r="V1273" s="26"/>
      <c r="W1273" s="25"/>
      <c r="Y1273" s="26"/>
      <c r="Z1273" s="25"/>
      <c r="AB1273" s="26"/>
    </row>
    <row r="1274" spans="11:28">
      <c r="K1274" s="25"/>
      <c r="M1274" s="26"/>
      <c r="N1274" s="25"/>
      <c r="P1274" s="26"/>
      <c r="Q1274" s="25"/>
      <c r="S1274" s="26"/>
      <c r="T1274" s="25"/>
      <c r="V1274" s="26"/>
      <c r="W1274" s="25"/>
      <c r="Y1274" s="26"/>
      <c r="Z1274" s="25"/>
      <c r="AB1274" s="26"/>
    </row>
    <row r="1275" spans="11:28">
      <c r="K1275" s="25"/>
      <c r="M1275" s="26"/>
      <c r="N1275" s="25"/>
      <c r="P1275" s="26"/>
      <c r="Q1275" s="25"/>
      <c r="S1275" s="26"/>
      <c r="T1275" s="25"/>
      <c r="V1275" s="26"/>
      <c r="W1275" s="25"/>
      <c r="Y1275" s="26"/>
      <c r="Z1275" s="25"/>
      <c r="AB1275" s="26"/>
    </row>
    <row r="1276" spans="11:28">
      <c r="K1276" s="25"/>
      <c r="M1276" s="26"/>
      <c r="N1276" s="25"/>
      <c r="P1276" s="26"/>
      <c r="Q1276" s="25"/>
      <c r="S1276" s="26"/>
      <c r="T1276" s="25"/>
      <c r="V1276" s="26"/>
      <c r="W1276" s="25"/>
      <c r="Y1276" s="26"/>
      <c r="Z1276" s="25"/>
      <c r="AB1276" s="26"/>
    </row>
    <row r="1277" spans="11:28">
      <c r="K1277" s="25"/>
      <c r="M1277" s="26"/>
      <c r="N1277" s="25"/>
      <c r="P1277" s="26"/>
      <c r="Q1277" s="25"/>
      <c r="S1277" s="26"/>
      <c r="T1277" s="25"/>
      <c r="V1277" s="26"/>
      <c r="W1277" s="25"/>
      <c r="Y1277" s="26"/>
      <c r="Z1277" s="25"/>
      <c r="AB1277" s="26"/>
    </row>
    <row r="1278" spans="11:28">
      <c r="K1278" s="25"/>
      <c r="M1278" s="26"/>
      <c r="N1278" s="25"/>
      <c r="P1278" s="26"/>
      <c r="Q1278" s="25"/>
      <c r="S1278" s="26"/>
      <c r="T1278" s="25"/>
      <c r="V1278" s="26"/>
      <c r="W1278" s="25"/>
      <c r="Y1278" s="26"/>
      <c r="Z1278" s="25"/>
      <c r="AB1278" s="26"/>
    </row>
    <row r="1279" spans="11:28">
      <c r="K1279" s="25"/>
      <c r="M1279" s="26"/>
      <c r="N1279" s="25"/>
      <c r="P1279" s="26"/>
      <c r="Q1279" s="25"/>
      <c r="S1279" s="26"/>
      <c r="T1279" s="25"/>
      <c r="V1279" s="26"/>
      <c r="W1279" s="25"/>
      <c r="Y1279" s="26"/>
      <c r="Z1279" s="25"/>
      <c r="AB1279" s="26"/>
    </row>
    <row r="1280" spans="11:28">
      <c r="K1280" s="25"/>
      <c r="M1280" s="26"/>
      <c r="N1280" s="25"/>
      <c r="P1280" s="26"/>
      <c r="Q1280" s="25"/>
      <c r="S1280" s="26"/>
      <c r="T1280" s="25"/>
      <c r="V1280" s="26"/>
      <c r="W1280" s="25"/>
      <c r="Y1280" s="26"/>
      <c r="Z1280" s="25"/>
      <c r="AB1280" s="26"/>
    </row>
    <row r="1281" spans="11:28">
      <c r="K1281" s="25"/>
      <c r="M1281" s="26"/>
      <c r="N1281" s="25"/>
      <c r="P1281" s="26"/>
      <c r="Q1281" s="25"/>
      <c r="S1281" s="26"/>
      <c r="T1281" s="25"/>
      <c r="V1281" s="26"/>
      <c r="W1281" s="25"/>
      <c r="Y1281" s="26"/>
      <c r="Z1281" s="25"/>
      <c r="AB1281" s="26"/>
    </row>
    <row r="1282" spans="11:28">
      <c r="K1282" s="25"/>
      <c r="M1282" s="26"/>
      <c r="N1282" s="25"/>
      <c r="P1282" s="26"/>
      <c r="Q1282" s="25"/>
      <c r="S1282" s="26"/>
      <c r="T1282" s="25"/>
      <c r="V1282" s="26"/>
      <c r="W1282" s="25"/>
      <c r="Y1282" s="26"/>
      <c r="Z1282" s="25"/>
      <c r="AB1282" s="26"/>
    </row>
    <row r="1283" spans="11:28">
      <c r="K1283" s="25"/>
      <c r="M1283" s="26"/>
      <c r="N1283" s="25"/>
      <c r="P1283" s="26"/>
      <c r="Q1283" s="25"/>
      <c r="S1283" s="26"/>
      <c r="T1283" s="25"/>
      <c r="V1283" s="26"/>
      <c r="W1283" s="25"/>
      <c r="Y1283" s="26"/>
      <c r="Z1283" s="25"/>
      <c r="AB1283" s="26"/>
    </row>
    <row r="1284" spans="11:28">
      <c r="K1284" s="25"/>
      <c r="M1284" s="26"/>
      <c r="N1284" s="25"/>
      <c r="P1284" s="26"/>
      <c r="Q1284" s="25"/>
      <c r="S1284" s="26"/>
      <c r="T1284" s="25"/>
      <c r="V1284" s="26"/>
      <c r="W1284" s="25"/>
      <c r="Y1284" s="26"/>
      <c r="Z1284" s="25"/>
      <c r="AB1284" s="26"/>
    </row>
    <row r="1285" spans="11:28">
      <c r="K1285" s="25"/>
      <c r="M1285" s="26"/>
      <c r="N1285" s="25"/>
      <c r="P1285" s="26"/>
      <c r="Q1285" s="25"/>
      <c r="S1285" s="26"/>
      <c r="T1285" s="25"/>
      <c r="V1285" s="26"/>
      <c r="W1285" s="25"/>
      <c r="Y1285" s="26"/>
      <c r="Z1285" s="25"/>
      <c r="AB1285" s="26"/>
    </row>
    <row r="1286" spans="11:28">
      <c r="K1286" s="25"/>
      <c r="M1286" s="26"/>
      <c r="N1286" s="25"/>
      <c r="P1286" s="26"/>
      <c r="Q1286" s="25"/>
      <c r="S1286" s="26"/>
      <c r="T1286" s="25"/>
      <c r="V1286" s="26"/>
      <c r="W1286" s="25"/>
      <c r="Y1286" s="26"/>
      <c r="Z1286" s="25"/>
      <c r="AB1286" s="26"/>
    </row>
    <row r="1287" spans="11:28">
      <c r="K1287" s="25"/>
      <c r="M1287" s="26"/>
      <c r="N1287" s="25"/>
      <c r="P1287" s="26"/>
      <c r="Q1287" s="25"/>
      <c r="S1287" s="26"/>
      <c r="T1287" s="25"/>
      <c r="V1287" s="26"/>
      <c r="W1287" s="25"/>
      <c r="Y1287" s="26"/>
      <c r="Z1287" s="25"/>
      <c r="AB1287" s="26"/>
    </row>
    <row r="1288" spans="11:28">
      <c r="K1288" s="25"/>
      <c r="M1288" s="26"/>
      <c r="N1288" s="25"/>
      <c r="P1288" s="26"/>
      <c r="Q1288" s="25"/>
      <c r="S1288" s="26"/>
      <c r="T1288" s="25"/>
      <c r="V1288" s="26"/>
      <c r="W1288" s="25"/>
      <c r="Y1288" s="26"/>
      <c r="Z1288" s="25"/>
      <c r="AB1288" s="26"/>
    </row>
    <row r="1289" spans="11:28">
      <c r="K1289" s="25"/>
      <c r="M1289" s="26"/>
      <c r="N1289" s="25"/>
      <c r="P1289" s="26"/>
      <c r="Q1289" s="25"/>
      <c r="S1289" s="26"/>
      <c r="T1289" s="25"/>
      <c r="V1289" s="26"/>
      <c r="W1289" s="25"/>
      <c r="Y1289" s="26"/>
      <c r="Z1289" s="25"/>
      <c r="AB1289" s="26"/>
    </row>
    <row r="1290" spans="11:28">
      <c r="K1290" s="25"/>
      <c r="M1290" s="26"/>
      <c r="N1290" s="25"/>
      <c r="P1290" s="26"/>
      <c r="Q1290" s="25"/>
      <c r="S1290" s="26"/>
      <c r="T1290" s="25"/>
      <c r="V1290" s="26"/>
      <c r="W1290" s="25"/>
      <c r="Y1290" s="26"/>
      <c r="Z1290" s="25"/>
      <c r="AB1290" s="26"/>
    </row>
    <row r="1291" spans="11:28">
      <c r="K1291" s="25"/>
      <c r="M1291" s="26"/>
      <c r="N1291" s="25"/>
      <c r="P1291" s="26"/>
      <c r="Q1291" s="25"/>
      <c r="S1291" s="26"/>
      <c r="T1291" s="25"/>
      <c r="V1291" s="26"/>
      <c r="W1291" s="25"/>
      <c r="Y1291" s="26"/>
      <c r="Z1291" s="25"/>
      <c r="AB1291" s="26"/>
    </row>
    <row r="1292" spans="11:28">
      <c r="K1292" s="25"/>
      <c r="M1292" s="26"/>
      <c r="N1292" s="25"/>
      <c r="P1292" s="26"/>
      <c r="Q1292" s="25"/>
      <c r="S1292" s="26"/>
      <c r="T1292" s="25"/>
      <c r="V1292" s="26"/>
      <c r="W1292" s="25"/>
      <c r="Y1292" s="26"/>
      <c r="Z1292" s="25"/>
      <c r="AB1292" s="26"/>
    </row>
    <row r="1293" spans="11:28">
      <c r="K1293" s="25"/>
      <c r="M1293" s="26"/>
      <c r="N1293" s="25"/>
      <c r="P1293" s="26"/>
      <c r="Q1293" s="25"/>
      <c r="S1293" s="26"/>
      <c r="T1293" s="25"/>
      <c r="V1293" s="26"/>
      <c r="W1293" s="25"/>
      <c r="Y1293" s="26"/>
      <c r="Z1293" s="25"/>
      <c r="AB1293" s="26"/>
    </row>
    <row r="1294" spans="11:28">
      <c r="K1294" s="25"/>
      <c r="M1294" s="26"/>
      <c r="N1294" s="25"/>
      <c r="P1294" s="26"/>
      <c r="Q1294" s="25"/>
      <c r="S1294" s="26"/>
      <c r="T1294" s="25"/>
      <c r="V1294" s="26"/>
      <c r="W1294" s="25"/>
      <c r="Y1294" s="26"/>
      <c r="Z1294" s="25"/>
      <c r="AB1294" s="26"/>
    </row>
    <row r="1295" spans="11:28">
      <c r="K1295" s="25"/>
      <c r="M1295" s="26"/>
      <c r="N1295" s="25"/>
      <c r="P1295" s="26"/>
      <c r="Q1295" s="25"/>
      <c r="S1295" s="26"/>
      <c r="T1295" s="25"/>
      <c r="V1295" s="26"/>
      <c r="W1295" s="25"/>
      <c r="Y1295" s="26"/>
      <c r="Z1295" s="25"/>
      <c r="AB1295" s="26"/>
    </row>
    <row r="1296" spans="11:28">
      <c r="K1296" s="25"/>
      <c r="M1296" s="26"/>
      <c r="N1296" s="25"/>
      <c r="P1296" s="26"/>
      <c r="Q1296" s="25"/>
      <c r="S1296" s="26"/>
      <c r="T1296" s="25"/>
      <c r="V1296" s="26"/>
      <c r="W1296" s="25"/>
      <c r="Y1296" s="26"/>
      <c r="Z1296" s="25"/>
      <c r="AB1296" s="26"/>
    </row>
    <row r="1297" spans="11:28">
      <c r="K1297" s="25"/>
      <c r="M1297" s="26"/>
      <c r="N1297" s="25"/>
      <c r="P1297" s="26"/>
      <c r="Q1297" s="25"/>
      <c r="S1297" s="26"/>
      <c r="T1297" s="25"/>
      <c r="V1297" s="26"/>
      <c r="W1297" s="25"/>
      <c r="Y1297" s="26"/>
      <c r="Z1297" s="25"/>
      <c r="AB1297" s="26"/>
    </row>
    <row r="1298" spans="11:28">
      <c r="K1298" s="25"/>
      <c r="M1298" s="26"/>
      <c r="N1298" s="25"/>
      <c r="P1298" s="26"/>
      <c r="Q1298" s="25"/>
      <c r="S1298" s="26"/>
      <c r="T1298" s="25"/>
      <c r="V1298" s="26"/>
      <c r="W1298" s="25"/>
      <c r="Y1298" s="26"/>
      <c r="Z1298" s="25"/>
      <c r="AB1298" s="26"/>
    </row>
    <row r="1299" spans="11:28">
      <c r="K1299" s="25"/>
      <c r="M1299" s="26"/>
      <c r="N1299" s="25"/>
      <c r="P1299" s="26"/>
      <c r="Q1299" s="25"/>
      <c r="S1299" s="26"/>
      <c r="T1299" s="25"/>
      <c r="V1299" s="26"/>
      <c r="W1299" s="25"/>
      <c r="Y1299" s="26"/>
      <c r="Z1299" s="25"/>
      <c r="AB1299" s="26"/>
    </row>
    <row r="1300" spans="11:28">
      <c r="K1300" s="25"/>
      <c r="M1300" s="26"/>
      <c r="N1300" s="25"/>
      <c r="P1300" s="26"/>
      <c r="Q1300" s="25"/>
      <c r="S1300" s="26"/>
      <c r="T1300" s="25"/>
      <c r="V1300" s="26"/>
      <c r="W1300" s="25"/>
      <c r="Y1300" s="26"/>
      <c r="Z1300" s="25"/>
      <c r="AB1300" s="26"/>
    </row>
    <row r="1301" spans="11:28">
      <c r="K1301" s="25"/>
      <c r="M1301" s="26"/>
      <c r="N1301" s="25"/>
      <c r="P1301" s="26"/>
      <c r="Q1301" s="25"/>
      <c r="S1301" s="26"/>
      <c r="T1301" s="25"/>
      <c r="V1301" s="26"/>
      <c r="W1301" s="25"/>
      <c r="Y1301" s="26"/>
      <c r="Z1301" s="25"/>
      <c r="AB1301" s="26"/>
    </row>
    <row r="1302" spans="11:28">
      <c r="K1302" s="25"/>
      <c r="M1302" s="26"/>
      <c r="N1302" s="25"/>
      <c r="P1302" s="26"/>
      <c r="Q1302" s="25"/>
      <c r="S1302" s="26"/>
      <c r="T1302" s="25"/>
      <c r="V1302" s="26"/>
      <c r="W1302" s="25"/>
      <c r="Y1302" s="26"/>
      <c r="Z1302" s="25"/>
      <c r="AB1302" s="26"/>
    </row>
    <row r="1303" spans="11:28">
      <c r="K1303" s="25"/>
      <c r="M1303" s="26"/>
      <c r="N1303" s="25"/>
      <c r="P1303" s="26"/>
      <c r="Q1303" s="25"/>
      <c r="S1303" s="26"/>
      <c r="T1303" s="25"/>
      <c r="V1303" s="26"/>
      <c r="W1303" s="25"/>
      <c r="Y1303" s="26"/>
      <c r="Z1303" s="25"/>
      <c r="AB1303" s="26"/>
    </row>
    <row r="1304" spans="11:28">
      <c r="K1304" s="25"/>
      <c r="M1304" s="26"/>
      <c r="N1304" s="25"/>
      <c r="P1304" s="26"/>
      <c r="Q1304" s="25"/>
      <c r="S1304" s="26"/>
      <c r="T1304" s="25"/>
      <c r="V1304" s="26"/>
      <c r="W1304" s="25"/>
      <c r="Y1304" s="26"/>
      <c r="Z1304" s="25"/>
      <c r="AB1304" s="26"/>
    </row>
    <row r="1305" spans="11:28">
      <c r="K1305" s="25"/>
      <c r="M1305" s="26"/>
      <c r="N1305" s="25"/>
      <c r="P1305" s="26"/>
      <c r="Q1305" s="25"/>
      <c r="S1305" s="26"/>
      <c r="T1305" s="25"/>
      <c r="V1305" s="26"/>
      <c r="W1305" s="25"/>
      <c r="Y1305" s="26"/>
      <c r="Z1305" s="25"/>
      <c r="AB1305" s="26"/>
    </row>
    <row r="1306" spans="11:28">
      <c r="K1306" s="25"/>
      <c r="M1306" s="26"/>
      <c r="N1306" s="25"/>
      <c r="P1306" s="26"/>
      <c r="Q1306" s="25"/>
      <c r="S1306" s="26"/>
      <c r="T1306" s="25"/>
      <c r="V1306" s="26"/>
      <c r="W1306" s="25"/>
      <c r="Y1306" s="26"/>
      <c r="Z1306" s="25"/>
      <c r="AB1306" s="26"/>
    </row>
    <row r="1307" spans="11:28">
      <c r="K1307" s="25"/>
      <c r="M1307" s="26"/>
      <c r="N1307" s="25"/>
      <c r="P1307" s="26"/>
      <c r="Q1307" s="25"/>
      <c r="S1307" s="26"/>
      <c r="T1307" s="25"/>
      <c r="V1307" s="26"/>
      <c r="W1307" s="25"/>
      <c r="Y1307" s="26"/>
      <c r="Z1307" s="25"/>
      <c r="AB1307" s="26"/>
    </row>
    <row r="1308" spans="11:28">
      <c r="K1308" s="25"/>
      <c r="M1308" s="26"/>
      <c r="N1308" s="25"/>
      <c r="P1308" s="26"/>
      <c r="Q1308" s="25"/>
      <c r="S1308" s="26"/>
      <c r="T1308" s="25"/>
      <c r="V1308" s="26"/>
      <c r="W1308" s="25"/>
      <c r="Y1308" s="26"/>
      <c r="Z1308" s="25"/>
      <c r="AB1308" s="26"/>
    </row>
    <row r="1309" spans="11:28">
      <c r="K1309" s="25"/>
      <c r="M1309" s="26"/>
      <c r="N1309" s="25"/>
      <c r="P1309" s="26"/>
      <c r="Q1309" s="25"/>
      <c r="S1309" s="26"/>
      <c r="T1309" s="25"/>
      <c r="V1309" s="26"/>
      <c r="W1309" s="25"/>
      <c r="Y1309" s="26"/>
      <c r="Z1309" s="25"/>
      <c r="AB1309" s="26"/>
    </row>
    <row r="1310" spans="11:28">
      <c r="K1310" s="25"/>
      <c r="M1310" s="26"/>
      <c r="N1310" s="25"/>
      <c r="P1310" s="26"/>
      <c r="Q1310" s="25"/>
      <c r="S1310" s="26"/>
      <c r="T1310" s="25"/>
      <c r="V1310" s="26"/>
      <c r="W1310" s="25"/>
      <c r="Y1310" s="26"/>
      <c r="Z1310" s="25"/>
      <c r="AB1310" s="26"/>
    </row>
    <row r="1311" spans="11:28">
      <c r="K1311" s="25"/>
      <c r="M1311" s="26"/>
      <c r="N1311" s="25"/>
      <c r="P1311" s="26"/>
      <c r="Q1311" s="25"/>
      <c r="S1311" s="26"/>
      <c r="T1311" s="25"/>
      <c r="V1311" s="26"/>
      <c r="W1311" s="25"/>
      <c r="Y1311" s="26"/>
      <c r="Z1311" s="25"/>
      <c r="AB1311" s="26"/>
    </row>
    <row r="1312" spans="11:28" ht="15.75" thickBot="1">
      <c r="K1312" s="33"/>
      <c r="L1312" s="34"/>
      <c r="M1312" s="35"/>
      <c r="N1312" s="33"/>
      <c r="O1312" s="34"/>
      <c r="P1312" s="35"/>
      <c r="Q1312" s="33"/>
      <c r="R1312" s="34"/>
      <c r="S1312" s="35"/>
      <c r="T1312" s="33"/>
      <c r="U1312" s="34"/>
      <c r="V1312" s="35"/>
      <c r="W1312" s="33"/>
      <c r="X1312" s="34"/>
      <c r="Y1312" s="35"/>
      <c r="Z1312" s="33"/>
      <c r="AA1312" s="34"/>
      <c r="AB1312" s="35"/>
    </row>
  </sheetData>
  <sheetProtection algorithmName="SHA-512" hashValue="xWjqTcCE96S6I3kwk/HoCWzS0XqXGBSJvCRP105WuTgas3KadxX1YloL6TSfatQSfaq9Ajz16oe4f/aYHcvMmg==" saltValue="062kDYJAxDS/PRVCyAA26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Ehrlich</dc:creator>
  <cp:lastModifiedBy>Thomas Ehrlich</cp:lastModifiedBy>
  <dcterms:created xsi:type="dcterms:W3CDTF">2024-05-25T09:02:34Z</dcterms:created>
  <dcterms:modified xsi:type="dcterms:W3CDTF">2024-05-25T09:09:17Z</dcterms:modified>
</cp:coreProperties>
</file>